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S L\Desktop\56 сесія\"/>
    </mc:Choice>
  </mc:AlternateContent>
  <xr:revisionPtr revIDLastSave="0" documentId="13_ncr:1_{BAB1F82A-0668-4DDC-851B-8DE37B52E597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I. Фін план (новий 11.11.19" sheetId="1" r:id="rId1"/>
    <sheet name="Лист1" sheetId="2" r:id="rId2"/>
    <sheet name="Лист2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XGRAPH3" localSheetId="0" hidden="1">[1]gdp!#REF!</definedName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 localSheetId="0">#REF!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 localSheetId="0">#REF!</definedName>
    <definedName name="Cost_Category_National_ID">#REF!</definedName>
    <definedName name="Cе511" localSheetId="0">#REF!</definedName>
    <definedName name="Cе511">#REF!</definedName>
    <definedName name="d">'[9]МТР Газ України'!$B$4</definedName>
    <definedName name="Fact_Type_ID" localSheetId="0">#REF!</definedName>
    <definedName name="Fact_Type_ID">#REF!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w">[5]Inform!$E$5</definedName>
    <definedName name="qwert">[5]Inform!$G$2</definedName>
    <definedName name="qwerty">'[4]МТР Газ України'!$B$4</definedName>
    <definedName name="SU_ID" localSheetId="0">#REF!</definedName>
    <definedName name="SU_ID">#REF!</definedName>
    <definedName name="ttttttt" localSheetId="0">#REF!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yyyy" localSheetId="0">#REF!</definedName>
    <definedName name="yyyy">#REF!</definedName>
    <definedName name="zx">'[4]МТР Газ України'!$F$1</definedName>
    <definedName name="zxc">[5]Inform!$E$38</definedName>
    <definedName name="ав" localSheetId="0">#REF!</definedName>
    <definedName name="ав">#REF!</definedName>
    <definedName name="е" localSheetId="0">#REF!</definedName>
    <definedName name="е">#REF!</definedName>
    <definedName name="є" localSheetId="0">#REF!</definedName>
    <definedName name="є">#REF!</definedName>
    <definedName name="ів" localSheetId="0">#REF!</definedName>
    <definedName name="ів">#REF!</definedName>
    <definedName name="ів___0" localSheetId="0">#REF!</definedName>
    <definedName name="ів___0">#REF!</definedName>
    <definedName name="ів_22" localSheetId="0">#REF!</definedName>
    <definedName name="ів_22">#REF!</definedName>
    <definedName name="ів_26" localSheetId="0">#REF!</definedName>
    <definedName name="ів_26">#REF!</definedName>
    <definedName name="іваф" localSheetId="0">#REF!</definedName>
    <definedName name="іваф">#REF!</definedName>
    <definedName name="йуц" localSheetId="0">#REF!</definedName>
    <definedName name="йуц">#REF!</definedName>
    <definedName name="йцу" localSheetId="0">#REF!</definedName>
    <definedName name="йцу">#REF!</definedName>
    <definedName name="йцуйй" localSheetId="0">#REF!</definedName>
    <definedName name="йцуйй">#REF!</definedName>
    <definedName name="КЕ" localSheetId="0">#REF!</definedName>
    <definedName name="КЕ">#REF!</definedName>
    <definedName name="КЕ___0" localSheetId="0">#REF!</definedName>
    <definedName name="КЕ___0">#REF!</definedName>
    <definedName name="КЕ_22" localSheetId="0">#REF!</definedName>
    <definedName name="КЕ_22">#REF!</definedName>
    <definedName name="КЕ_26" localSheetId="0">#REF!</definedName>
    <definedName name="КЕ_26">#REF!</definedName>
    <definedName name="кен" localSheetId="0">#REF!</definedName>
    <definedName name="кен">#REF!</definedName>
    <definedName name="л" localSheetId="0">#REF!</definedName>
    <definedName name="л">#REF!</definedName>
    <definedName name="_xlnm.Print_Area" localSheetId="0">'I. Фін план (новий 11.11.19'!$A$1:$J$131</definedName>
    <definedName name="План" localSheetId="0">#REF!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 localSheetId="0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р" localSheetId="0">#REF!</definedName>
    <definedName name="р">#REF!</definedName>
    <definedName name="уйцукйцуйу" localSheetId="0">#REF!</definedName>
    <definedName name="уйцукйцуйу">#REF!</definedName>
    <definedName name="ш" localSheetId="0">#REF!</definedName>
    <definedName name="ш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6" i="1" l="1"/>
  <c r="G126" i="1"/>
  <c r="F126" i="1"/>
  <c r="H125" i="1"/>
  <c r="G125" i="1"/>
  <c r="F125" i="1"/>
  <c r="H118" i="1"/>
  <c r="E118" i="1" s="1"/>
  <c r="D118" i="1" s="1"/>
  <c r="H117" i="1"/>
  <c r="E117" i="1"/>
  <c r="D117" i="1"/>
  <c r="E116" i="1"/>
  <c r="D116" i="1" s="1"/>
  <c r="F115" i="1"/>
  <c r="E115" i="1" s="1"/>
  <c r="D115" i="1" s="1"/>
  <c r="I114" i="1"/>
  <c r="H114" i="1"/>
  <c r="F114" i="1"/>
  <c r="E114" i="1" s="1"/>
  <c r="D114" i="1" s="1"/>
  <c r="I113" i="1"/>
  <c r="I106" i="1" s="1"/>
  <c r="H113" i="1"/>
  <c r="E113" i="1" s="1"/>
  <c r="D113" i="1" s="1"/>
  <c r="I112" i="1"/>
  <c r="H112" i="1"/>
  <c r="F112" i="1"/>
  <c r="E112" i="1" s="1"/>
  <c r="D112" i="1" s="1"/>
  <c r="F111" i="1"/>
  <c r="E111" i="1" s="1"/>
  <c r="D111" i="1" s="1"/>
  <c r="I110" i="1"/>
  <c r="H110" i="1"/>
  <c r="E110" i="1" s="1"/>
  <c r="D110" i="1" s="1"/>
  <c r="G110" i="1"/>
  <c r="F110" i="1"/>
  <c r="I108" i="1"/>
  <c r="H108" i="1"/>
  <c r="H107" i="1" s="1"/>
  <c r="H106" i="1" s="1"/>
  <c r="E108" i="1"/>
  <c r="D108" i="1"/>
  <c r="I107" i="1"/>
  <c r="G107" i="1"/>
  <c r="E107" i="1" s="1"/>
  <c r="D107" i="1" s="1"/>
  <c r="F107" i="1"/>
  <c r="G106" i="1"/>
  <c r="E105" i="1"/>
  <c r="E104" i="1"/>
  <c r="E103" i="1"/>
  <c r="D102" i="1"/>
  <c r="E101" i="1"/>
  <c r="D101" i="1" s="1"/>
  <c r="E100" i="1"/>
  <c r="D100" i="1" s="1"/>
  <c r="E99" i="1"/>
  <c r="D99" i="1" s="1"/>
  <c r="I98" i="1"/>
  <c r="E98" i="1"/>
  <c r="D98" i="1" s="1"/>
  <c r="I97" i="1"/>
  <c r="H97" i="1"/>
  <c r="E97" i="1" s="1"/>
  <c r="D97" i="1" s="1"/>
  <c r="F97" i="1"/>
  <c r="F96" i="1" s="1"/>
  <c r="E96" i="1" s="1"/>
  <c r="D96" i="1" s="1"/>
  <c r="I96" i="1"/>
  <c r="H96" i="1"/>
  <c r="G96" i="1"/>
  <c r="E95" i="1"/>
  <c r="E94" i="1"/>
  <c r="E93" i="1"/>
  <c r="E90" i="1"/>
  <c r="E89" i="1"/>
  <c r="D89" i="1" s="1"/>
  <c r="E88" i="1"/>
  <c r="E87" i="1"/>
  <c r="I86" i="1"/>
  <c r="E86" i="1" s="1"/>
  <c r="D86" i="1" s="1"/>
  <c r="H86" i="1"/>
  <c r="E85" i="1"/>
  <c r="H84" i="1"/>
  <c r="G84" i="1"/>
  <c r="F84" i="1"/>
  <c r="E83" i="1"/>
  <c r="E82" i="1"/>
  <c r="I78" i="1"/>
  <c r="H78" i="1"/>
  <c r="G78" i="1"/>
  <c r="F78" i="1"/>
  <c r="E78" i="1" s="1"/>
  <c r="D78" i="1" s="1"/>
  <c r="I77" i="1"/>
  <c r="H77" i="1"/>
  <c r="G77" i="1"/>
  <c r="F77" i="1"/>
  <c r="E77" i="1"/>
  <c r="D77" i="1" s="1"/>
  <c r="G76" i="1"/>
  <c r="H75" i="1"/>
  <c r="G75" i="1"/>
  <c r="F75" i="1"/>
  <c r="E72" i="1"/>
  <c r="E71" i="1"/>
  <c r="D71" i="1" s="1"/>
  <c r="E70" i="1"/>
  <c r="D70" i="1"/>
  <c r="E69" i="1"/>
  <c r="D69" i="1" s="1"/>
  <c r="E68" i="1"/>
  <c r="D68" i="1" s="1"/>
  <c r="D67" i="1"/>
  <c r="D66" i="1"/>
  <c r="E65" i="1"/>
  <c r="D65" i="1"/>
  <c r="D64" i="1"/>
  <c r="E63" i="1"/>
  <c r="D63" i="1"/>
  <c r="E62" i="1"/>
  <c r="D62" i="1"/>
  <c r="E61" i="1"/>
  <c r="D61" i="1"/>
  <c r="E60" i="1"/>
  <c r="D60" i="1" s="1"/>
  <c r="E59" i="1"/>
  <c r="D59" i="1"/>
  <c r="E58" i="1"/>
  <c r="D58" i="1"/>
  <c r="E57" i="1"/>
  <c r="D57" i="1"/>
  <c r="E56" i="1"/>
  <c r="D56" i="1" s="1"/>
  <c r="I55" i="1"/>
  <c r="H55" i="1"/>
  <c r="G55" i="1"/>
  <c r="F55" i="1"/>
  <c r="E55" i="1" s="1"/>
  <c r="D55" i="1" s="1"/>
  <c r="C55" i="1"/>
  <c r="E54" i="1"/>
  <c r="D54" i="1" s="1"/>
  <c r="E53" i="1"/>
  <c r="D53" i="1" s="1"/>
  <c r="I52" i="1"/>
  <c r="E52" i="1" s="1"/>
  <c r="D52" i="1" s="1"/>
  <c r="E51" i="1"/>
  <c r="D51" i="1" s="1"/>
  <c r="H50" i="1"/>
  <c r="G50" i="1"/>
  <c r="F50" i="1"/>
  <c r="E49" i="1"/>
  <c r="D49" i="1" s="1"/>
  <c r="I48" i="1"/>
  <c r="H48" i="1"/>
  <c r="E48" i="1" s="1"/>
  <c r="D48" i="1" s="1"/>
  <c r="E47" i="1"/>
  <c r="D47" i="1" s="1"/>
  <c r="I46" i="1"/>
  <c r="I76" i="1" s="1"/>
  <c r="H46" i="1"/>
  <c r="H76" i="1" s="1"/>
  <c r="F46" i="1"/>
  <c r="F76" i="1" s="1"/>
  <c r="E76" i="1" s="1"/>
  <c r="D76" i="1" s="1"/>
  <c r="I45" i="1"/>
  <c r="I75" i="1" s="1"/>
  <c r="H45" i="1"/>
  <c r="F45" i="1"/>
  <c r="E45" i="1"/>
  <c r="D45" i="1" s="1"/>
  <c r="E44" i="1"/>
  <c r="D44" i="1"/>
  <c r="E43" i="1"/>
  <c r="D43" i="1"/>
  <c r="I42" i="1"/>
  <c r="H42" i="1"/>
  <c r="E42" i="1"/>
  <c r="D42" i="1" s="1"/>
  <c r="I41" i="1"/>
  <c r="E41" i="1"/>
  <c r="D41" i="1" s="1"/>
  <c r="H40" i="1"/>
  <c r="H39" i="1" s="1"/>
  <c r="H79" i="1" s="1"/>
  <c r="G40" i="1"/>
  <c r="E40" i="1" s="1"/>
  <c r="I39" i="1"/>
  <c r="G39" i="1"/>
  <c r="G79" i="1" s="1"/>
  <c r="F39" i="1"/>
  <c r="F79" i="1" s="1"/>
  <c r="I38" i="1"/>
  <c r="H38" i="1"/>
  <c r="F38" i="1"/>
  <c r="E38" i="1" s="1"/>
  <c r="D38" i="1" s="1"/>
  <c r="I37" i="1"/>
  <c r="H37" i="1"/>
  <c r="E37" i="1" s="1"/>
  <c r="D37" i="1" s="1"/>
  <c r="I36" i="1"/>
  <c r="I35" i="1" s="1"/>
  <c r="H36" i="1"/>
  <c r="H35" i="1" s="1"/>
  <c r="G36" i="1"/>
  <c r="F36" i="1"/>
  <c r="F35" i="1" s="1"/>
  <c r="G35" i="1"/>
  <c r="G34" i="1" s="1"/>
  <c r="G120" i="1" s="1"/>
  <c r="E33" i="1"/>
  <c r="D33" i="1"/>
  <c r="H30" i="1"/>
  <c r="H26" i="1" s="1"/>
  <c r="E30" i="1"/>
  <c r="D30" i="1" s="1"/>
  <c r="I29" i="1"/>
  <c r="E29" i="1"/>
  <c r="D29" i="1" s="1"/>
  <c r="I28" i="1"/>
  <c r="E28" i="1"/>
  <c r="D28" i="1" s="1"/>
  <c r="I27" i="1"/>
  <c r="I26" i="1" s="1"/>
  <c r="I119" i="1" s="1"/>
  <c r="H27" i="1"/>
  <c r="E27" i="1" s="1"/>
  <c r="D27" i="1" s="1"/>
  <c r="G26" i="1"/>
  <c r="G119" i="1" s="1"/>
  <c r="F26" i="1"/>
  <c r="F119" i="1" s="1"/>
  <c r="H119" i="1" l="1"/>
  <c r="E26" i="1"/>
  <c r="D26" i="1" s="1"/>
  <c r="I74" i="1"/>
  <c r="G121" i="1"/>
  <c r="E75" i="1"/>
  <c r="D75" i="1" s="1"/>
  <c r="F34" i="1"/>
  <c r="F74" i="1"/>
  <c r="E35" i="1"/>
  <c r="D35" i="1" s="1"/>
  <c r="E119" i="1"/>
  <c r="D119" i="1" s="1"/>
  <c r="D40" i="1"/>
  <c r="E39" i="1"/>
  <c r="D39" i="1" s="1"/>
  <c r="H74" i="1"/>
  <c r="H80" i="1" s="1"/>
  <c r="H34" i="1"/>
  <c r="H120" i="1" s="1"/>
  <c r="E36" i="1"/>
  <c r="D36" i="1" s="1"/>
  <c r="E46" i="1"/>
  <c r="D46" i="1" s="1"/>
  <c r="I50" i="1"/>
  <c r="I79" i="1" s="1"/>
  <c r="E79" i="1" s="1"/>
  <c r="D79" i="1" s="1"/>
  <c r="I84" i="1"/>
  <c r="E84" i="1" s="1"/>
  <c r="D84" i="1" s="1"/>
  <c r="F106" i="1"/>
  <c r="E106" i="1" s="1"/>
  <c r="D106" i="1" s="1"/>
  <c r="G74" i="1"/>
  <c r="G80" i="1" s="1"/>
  <c r="I34" i="1" l="1"/>
  <c r="I120" i="1" s="1"/>
  <c r="I121" i="1" s="1"/>
  <c r="I80" i="1"/>
  <c r="E50" i="1"/>
  <c r="D50" i="1" s="1"/>
  <c r="F80" i="1"/>
  <c r="E80" i="1" s="1"/>
  <c r="D80" i="1" s="1"/>
  <c r="E74" i="1"/>
  <c r="D74" i="1" s="1"/>
  <c r="E34" i="1"/>
  <c r="D34" i="1" s="1"/>
  <c r="F120" i="1"/>
  <c r="E120" i="1" s="1"/>
  <c r="D120" i="1" s="1"/>
  <c r="D121" i="1" s="1"/>
  <c r="H121" i="1"/>
</calcChain>
</file>

<file path=xl/sharedStrings.xml><?xml version="1.0" encoding="utf-8"?>
<sst xmlns="http://schemas.openxmlformats.org/spreadsheetml/2006/main" count="181" uniqueCount="165">
  <si>
    <t xml:space="preserve">           "ПОГОДЖЕНО"</t>
  </si>
  <si>
    <t>"ЗАТВЕРДЖЕНО"</t>
  </si>
  <si>
    <t>Начальник фінансового відділу</t>
  </si>
  <si>
    <t>рішенням Косівської міської ради</t>
  </si>
  <si>
    <t xml:space="preserve"> Косівської міської ради</t>
  </si>
  <si>
    <t>_____________ Віта ДОВБЕНЧУК</t>
  </si>
  <si>
    <t>Міський голова</t>
  </si>
  <si>
    <t>Юрій ПЛОСКОНОС</t>
  </si>
  <si>
    <t>ФІНАНСОВИЙ ПЛАН ПІДПРИЄМСТВА НА 2025 рік</t>
  </si>
  <si>
    <t>Розділ 1 .ВТОРИННА (СПЕЦІАЛІЗОВАНА) МЕДИЧНА ДОПОМОГА</t>
  </si>
  <si>
    <t xml:space="preserve">Підприємство  </t>
  </si>
  <si>
    <t>Комунальне некомерційне підприємство "Косівська центральна районна лікарня»</t>
  </si>
  <si>
    <t xml:space="preserve">за ЄДРПОУ </t>
  </si>
  <si>
    <t xml:space="preserve">Організаційно-правова форма </t>
  </si>
  <si>
    <t>комунальне підприємство</t>
  </si>
  <si>
    <t>за КОПФГ</t>
  </si>
  <si>
    <t>Територія</t>
  </si>
  <si>
    <t>м. Косів</t>
  </si>
  <si>
    <t>за КОАТУУ</t>
  </si>
  <si>
    <r>
      <rPr>
        <sz val="14"/>
        <rFont val="Times New Roman"/>
        <family val="1"/>
        <charset val="204"/>
      </rPr>
      <t xml:space="preserve">Орган державного управління  </t>
    </r>
    <r>
      <rPr>
        <b/>
        <i/>
        <sz val="14"/>
        <rFont val="Times New Roman"/>
        <family val="1"/>
        <charset val="204"/>
      </rPr>
      <t xml:space="preserve"> </t>
    </r>
  </si>
  <si>
    <t>Косівська міська рада</t>
  </si>
  <si>
    <t>за СПОДУ</t>
  </si>
  <si>
    <t xml:space="preserve">Галузь     </t>
  </si>
  <si>
    <t>Охорона здоров'я</t>
  </si>
  <si>
    <t>за ЗКГНГ</t>
  </si>
  <si>
    <t xml:space="preserve">Вид економічної діяльності    </t>
  </si>
  <si>
    <t>Діяльність лікарняних закладів</t>
  </si>
  <si>
    <t xml:space="preserve">за  КВЕД  </t>
  </si>
  <si>
    <t>86.10</t>
  </si>
  <si>
    <t>Одиниця виміру, грн.</t>
  </si>
  <si>
    <t>тис.грн.</t>
  </si>
  <si>
    <t>Форма власності</t>
  </si>
  <si>
    <t>комунальна</t>
  </si>
  <si>
    <t>Середньооблікова кількість штатних працівників в еквіваленті повної  зайнятості</t>
  </si>
  <si>
    <t xml:space="preserve">Місцезнаходження  </t>
  </si>
  <si>
    <t>78601 Івано-Франківська область, м.Косів, провул. Шевченка, 27</t>
  </si>
  <si>
    <t xml:space="preserve">Телефон </t>
  </si>
  <si>
    <t>2-16-21</t>
  </si>
  <si>
    <t>Керівник</t>
  </si>
  <si>
    <t>Іван Васильович Фазан</t>
  </si>
  <si>
    <t>тис. грн.</t>
  </si>
  <si>
    <t>Найменування показника</t>
  </si>
  <si>
    <t xml:space="preserve">Код рядка </t>
  </si>
  <si>
    <t>Факт минулого року</t>
  </si>
  <si>
    <t>Фінансовий план поточного року</t>
  </si>
  <si>
    <t>Плановий рік  (усього)</t>
  </si>
  <si>
    <t xml:space="preserve">У тому числі за кварталами </t>
  </si>
  <si>
    <t>Пояснення та обґрунтування до запланованого рівня доходів/витрат</t>
  </si>
  <si>
    <t xml:space="preserve">І  </t>
  </si>
  <si>
    <t xml:space="preserve">ІІ  </t>
  </si>
  <si>
    <t xml:space="preserve">ІІІ  </t>
  </si>
  <si>
    <t xml:space="preserve">ІV </t>
  </si>
  <si>
    <t>I. Фінансові результати</t>
  </si>
  <si>
    <t>Доходи і витрати від операційної діяльності (деталізація)</t>
  </si>
  <si>
    <t>Дохід (виручка) від реалізації продукції (товарів, робіт, послуг)</t>
  </si>
  <si>
    <t>Дохід з місцевого бюджету цільового фінансування на оплату комунальних послуг та енергоносіїв, товарів, робіт та послуг, інші видатки</t>
  </si>
  <si>
    <t>Кошторисні призначення  на 2025 рік  на комунальні послуги та енергоносії</t>
  </si>
  <si>
    <t>Дохід з місцевого бюджету за цільовими програмами, у тому числі:</t>
  </si>
  <si>
    <t>Цільова програма "Здоров'я громади" Косівської міської ради Косівського району Івано-Франківської області на 2023-2025 роки</t>
  </si>
  <si>
    <t xml:space="preserve"> 50,0тис.грн. на медико -соціальне забезпечення військовослужбовців</t>
  </si>
  <si>
    <t>Дохід за договорами НСЗУ( вторинка)</t>
  </si>
  <si>
    <t xml:space="preserve"> в т.ч в І кв. 437,3 тис.грн. за пролікований випадок за 12.2024 року</t>
  </si>
  <si>
    <t>Дохід за договорами НСЗУ( COVID)</t>
  </si>
  <si>
    <t>Дохід за договорами НСЗУ( перехідне фінансове забезпечення)</t>
  </si>
  <si>
    <t xml:space="preserve"> Нерозподілений залишок на рахунку станом на 01.01.2025р.</t>
  </si>
  <si>
    <t>Собівартість реалізованої продукції (товарів, робіт, послуг)</t>
  </si>
  <si>
    <t>Витрати на послуги, матеріали та сировину, в т. ч.:</t>
  </si>
  <si>
    <t>медикаменти та перев’язувальні матеріали</t>
  </si>
  <si>
    <t>Дезінфекційні середники, розхідні матеріали; медикаменти, медичні матеріали, діагностичне приладдя, в т.ч.50,0тис.грн-придбання ліків, що не входять в Нац.перелік для військових</t>
  </si>
  <si>
    <t>продукти харчування</t>
  </si>
  <si>
    <t>господарські товари та інвентар, будівельні та комп'ютерні товари,ремонт та запасні частини до транспортних засобів,шини,м'який інвентар,канцелярські товари, витрати на паливо-мастильні матеріали,бланки, папір друкарський,</t>
  </si>
  <si>
    <t xml:space="preserve"> Миючі засоби,господарські товари, комплектуючі носії ,паливо-мастильні матеріали, запасні частини</t>
  </si>
  <si>
    <t>Витрати на комунальні послуги та енергоносії, в т.ч.:</t>
  </si>
  <si>
    <t>Витрати на теплопостачання</t>
  </si>
  <si>
    <t>Витрати на електроенергію</t>
  </si>
  <si>
    <t>Витрати на водопостачання та водовідведення</t>
  </si>
  <si>
    <t>Витрати на природній газ</t>
  </si>
  <si>
    <t>Витрати на інші види палива</t>
  </si>
  <si>
    <t>придбання диз.палива для генераторів</t>
  </si>
  <si>
    <t>Витрати на оплату праці</t>
  </si>
  <si>
    <t>Відрахування на соціальні заходи</t>
  </si>
  <si>
    <t>Витрати по виконанню цільових програм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</si>
  <si>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</si>
  <si>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 xml:space="preserve">
- Збирання та вивіз біологічних відходів
- Викачка нечистот 
-Повірка лічильників 
- Ремонт котлів та лічильників
- Обстеження та ремонт  обладнання 
- Ремонт автотранспорту
- Обов'язкове страхування водіїв та автотранспорту
- Метрологічні роботи
- Проведення бак досліджень
- Заправка картриджів
- Техобслуговування ліфтів
- Послуги зв’язку та інтернету
- Послуги системи безпеки та охорони 
- Техобслуговування рентгенобладнання
- Поховання біохімічних відходів
- Перезарядка вогнегасників
- Послуги по супроводу та обслуговуванню програм
- Поточний ремонт приміщень
- Послуги по навчанню персоналу
-  Техогляд автотранспорту                                            - Оренда кисневої системи</t>
  </si>
  <si>
    <t>Амортизація</t>
  </si>
  <si>
    <t>Інші витрати (розшифрувати)</t>
  </si>
  <si>
    <t>Витрати на відрядження</t>
  </si>
  <si>
    <t>Витрати на пільгові пенсії</t>
  </si>
  <si>
    <t>Витрати на податки та інші видатки</t>
  </si>
  <si>
    <t>Дослідження і розробки, окремі заходи розвитку по реалізації державних (регіональних) програм</t>
  </si>
  <si>
    <t>послуги із інженерно-геодезичного вишукування для проектування "Нове будівництво модульного будинку відділення амбілаторної реабілітації"</t>
  </si>
  <si>
    <t>Адміністративні витрати, у тому числі:</t>
  </si>
  <si>
    <t>витрати на канцтовари, офісне приладдя та устаткування</t>
  </si>
  <si>
    <t xml:space="preserve">витрати на страхові послуги </t>
  </si>
  <si>
    <t>витрати на придбання та супровід програмного забезпечення</t>
  </si>
  <si>
    <t>витрати на службові відрядження</t>
  </si>
  <si>
    <t>витрати на зв’язок та інтернет</t>
  </si>
  <si>
    <t>витрати на оплату праці</t>
  </si>
  <si>
    <t>відрахування на соціальні заходи</t>
  </si>
  <si>
    <t>витрати на обслуговування оргтехніки</t>
  </si>
  <si>
    <t>витрати на культурно-масові заходи</t>
  </si>
  <si>
    <t xml:space="preserve">амортизація </t>
  </si>
  <si>
    <t>юридичні та нотаріальні послуги</t>
  </si>
  <si>
    <t>витрати на охорону праці та навчання працівників</t>
  </si>
  <si>
    <t>-</t>
  </si>
  <si>
    <t>інші адміністративні витрати (розшифрувати)</t>
  </si>
  <si>
    <t>Інші доходи від операційної діяльності, в т.ч.:</t>
  </si>
  <si>
    <t>дохід від операційної оренди активів</t>
  </si>
  <si>
    <t>дохід від реалізації необоротних активів</t>
  </si>
  <si>
    <t>Інші витрати від операційної діяльності (розшифрувати)</t>
  </si>
  <si>
    <t>ІІ. Елементи операційних витрат</t>
  </si>
  <si>
    <t>Матеріальні затрати</t>
  </si>
  <si>
    <t>Інші операційні витрати</t>
  </si>
  <si>
    <t>Разом (сума рядків 400 - 440)</t>
  </si>
  <si>
    <t>ІІІ. Інвестиційна діяльність</t>
  </si>
  <si>
    <t>Доходи від інвестиційної діяльності, у т.ч.:</t>
  </si>
  <si>
    <t>доходи з місцевого бюджету цільового фінансування по капітальних видатках</t>
  </si>
  <si>
    <t>Капітальні інвестиції, усього, у тому числі:</t>
  </si>
  <si>
    <t>капітальне будівництво</t>
  </si>
  <si>
    <t>придбання (виготовлення) основних засобів</t>
  </si>
  <si>
    <t>придбання медичного обладнання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</si>
  <si>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</si>
  <si>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</si>
  <si>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</si>
  <si>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аванс на виготовлення робочого проекту "Реконструкція постачання медичного кисню( хірургія, адміністрація, поліклініка)"</t>
  </si>
  <si>
    <t>капітальний ремонт</t>
  </si>
  <si>
    <t>ІV. Фінансова діяльність</t>
  </si>
  <si>
    <t>Доходи від фінансової діяльності за зобов’язаннями, у т. ч.:</t>
  </si>
  <si>
    <t xml:space="preserve">кредити </t>
  </si>
  <si>
    <t>позики</t>
  </si>
  <si>
    <t>депозити</t>
  </si>
  <si>
    <t>Інші надходження (розшифрувати)</t>
  </si>
  <si>
    <t>надходження від платних послуг</t>
  </si>
  <si>
    <t>надходження благодійної допомоги в грошовій формі</t>
  </si>
  <si>
    <t>надходження з бюджету розвитку</t>
  </si>
  <si>
    <t>надходження з центру зайнятості</t>
  </si>
  <si>
    <t>Витрати від фінансової діяльності за зобов’язаннями, у т. ч.:</t>
  </si>
  <si>
    <t xml:space="preserve"> Інші витрати (витрати від платних послуг,від благодійної допомоги в грошовій формі,від благодійної допомоги в натуральній формі)</t>
  </si>
  <si>
    <t>господарські товари та інвентар, будівельні та комп'ютерні товари</t>
  </si>
  <si>
    <t>оплата послуг</t>
  </si>
  <si>
    <t>витрати на податки та інші видатки</t>
  </si>
  <si>
    <t>придбання обладнання</t>
  </si>
  <si>
    <t>капітальний ремонт інших об'єктів</t>
  </si>
  <si>
    <t>кап.ремонт стерилізаційної</t>
  </si>
  <si>
    <t>видатки на cоціальних працівників з центру зайнятості</t>
  </si>
  <si>
    <t>Усього доходів</t>
  </si>
  <si>
    <t>Усього витрат</t>
  </si>
  <si>
    <t>Нерозподілені доходи</t>
  </si>
  <si>
    <t>IV. Додаткова інформація</t>
  </si>
  <si>
    <t>на 1.01</t>
  </si>
  <si>
    <t>на 1.04</t>
  </si>
  <si>
    <t>на 1.07</t>
  </si>
  <si>
    <t>на 1.10</t>
  </si>
  <si>
    <t>Штатна чисельність працівників</t>
  </si>
  <si>
    <t>Первісна вартість основних засобів</t>
  </si>
  <si>
    <t>Податкова заборгованість</t>
  </si>
  <si>
    <t>Заборгованість перед працівниками за заробітною платою</t>
  </si>
  <si>
    <t>Директор</t>
  </si>
  <si>
    <t>_________________________</t>
  </si>
  <si>
    <t>Іван ФАЗАН</t>
  </si>
  <si>
    <t xml:space="preserve">                                (посада)</t>
  </si>
  <si>
    <t xml:space="preserve">               (підпис)</t>
  </si>
  <si>
    <t xml:space="preserve">         (ініціали, прізвище)    </t>
  </si>
  <si>
    <t>від 17.10.2025</t>
  </si>
  <si>
    <t>№3021-56\2025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</si>
</sst>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_);_(* \(#,##0.0\);_(* \-_);_(@_)"/>
    <numFmt numFmtId="165" formatCode="#,##0.0"/>
    <numFmt numFmtId="166" formatCode="_(* #,##0_);_(* \(#,##0\);_(* \-_);_(@_)"/>
    <numFmt numFmtId="167" formatCode="#,##0.0;[Red]#,##0.0"/>
    <numFmt numFmtId="168" formatCode="0.0"/>
    <numFmt numFmtId="169" formatCode="_(* #,##0.00_);_(* \(#,##0.00\);_(* \-_);_(@_)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DBB6"/>
        <bgColor rgb="FFF6F9D4"/>
      </patternFill>
    </fill>
    <fill>
      <patternFill patternType="solid">
        <fgColor theme="0"/>
        <bgColor rgb="FFF6F9D4"/>
      </patternFill>
    </fill>
    <fill>
      <patternFill patternType="solid">
        <fgColor rgb="FFFFFFA6"/>
        <bgColor rgb="FFFFFF99"/>
      </patternFill>
    </fill>
    <fill>
      <patternFill patternType="solid">
        <fgColor rgb="FFF6F9D4"/>
        <bgColor rgb="FFFFFFFF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center" vertical="center" wrapText="1" shrinkToFit="1"/>
    </xf>
    <xf numFmtId="0" fontId="1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3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vertical="center" wrapText="1"/>
    </xf>
    <xf numFmtId="0" fontId="1" fillId="0" borderId="5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 wrapText="1"/>
    </xf>
    <xf numFmtId="0" fontId="1" fillId="0" borderId="6" xfId="0" applyFont="1" applyBorder="1" applyAlignment="1" applyProtection="1">
      <alignment vertical="center" wrapText="1"/>
    </xf>
    <xf numFmtId="0" fontId="1" fillId="0" borderId="7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 shrinkToFit="1"/>
    </xf>
    <xf numFmtId="0" fontId="1" fillId="0" borderId="5" xfId="0" applyFont="1" applyBorder="1" applyAlignment="1" applyProtection="1">
      <alignment horizontal="center" vertical="center" wrapText="1" shrinkToFit="1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1" fillId="0" borderId="5" xfId="0" applyFont="1" applyBorder="1" applyAlignment="1" applyProtection="1">
      <alignment horizontal="left" vertical="center" wrapText="1"/>
    </xf>
    <xf numFmtId="4" fontId="1" fillId="0" borderId="5" xfId="0" applyNumberFormat="1" applyFont="1" applyBorder="1" applyAlignment="1" applyProtection="1">
      <alignment horizontal="center" vertical="center" wrapText="1"/>
    </xf>
    <xf numFmtId="164" fontId="4" fillId="0" borderId="5" xfId="0" applyNumberFormat="1" applyFont="1" applyBorder="1" applyAlignment="1" applyProtection="1">
      <alignment horizontal="center" vertical="center" wrapText="1"/>
    </xf>
    <xf numFmtId="164" fontId="4" fillId="2" borderId="5" xfId="0" applyNumberFormat="1" applyFont="1" applyFill="1" applyBorder="1" applyAlignment="1" applyProtection="1">
      <alignment horizontal="center" vertical="center" wrapText="1"/>
    </xf>
    <xf numFmtId="4" fontId="4" fillId="0" borderId="5" xfId="0" applyNumberFormat="1" applyFont="1" applyBorder="1" applyAlignment="1" applyProtection="1">
      <alignment horizontal="center" vertical="center" wrapText="1"/>
    </xf>
    <xf numFmtId="2" fontId="2" fillId="0" borderId="5" xfId="0" applyNumberFormat="1" applyFont="1" applyBorder="1" applyAlignment="1" applyProtection="1">
      <alignment horizontal="left" vertical="center" wrapText="1" shrinkToFit="1"/>
    </xf>
    <xf numFmtId="164" fontId="1" fillId="0" borderId="5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left" vertical="center" wrapText="1" shrinkToFit="1"/>
    </xf>
    <xf numFmtId="0" fontId="6" fillId="0" borderId="5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center" vertical="center"/>
    </xf>
    <xf numFmtId="164" fontId="1" fillId="2" borderId="5" xfId="0" applyNumberFormat="1" applyFont="1" applyFill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left" vertical="center" wrapText="1" shrinkToFit="1"/>
    </xf>
    <xf numFmtId="0" fontId="4" fillId="0" borderId="5" xfId="0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4" fontId="1" fillId="4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164" fontId="1" fillId="4" borderId="5" xfId="0" applyNumberFormat="1" applyFont="1" applyFill="1" applyBorder="1" applyAlignment="1" applyProtection="1">
      <alignment horizontal="center" vertical="center" wrapText="1"/>
    </xf>
    <xf numFmtId="2" fontId="2" fillId="0" borderId="5" xfId="0" applyNumberFormat="1" applyFont="1" applyBorder="1" applyAlignment="1" applyProtection="1">
      <alignment horizontal="left" vertical="top" wrapText="1" shrinkToFit="1"/>
    </xf>
    <xf numFmtId="164" fontId="1" fillId="3" borderId="5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left" vertical="top" wrapText="1" shrinkToFit="1"/>
    </xf>
    <xf numFmtId="2" fontId="1" fillId="2" borderId="5" xfId="0" applyNumberFormat="1" applyFont="1" applyFill="1" applyBorder="1" applyAlignment="1" applyProtection="1">
      <alignment horizontal="center" vertical="center" wrapText="1"/>
    </xf>
    <xf numFmtId="2" fontId="1" fillId="4" borderId="5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 shrinkToFit="1"/>
    </xf>
    <xf numFmtId="2" fontId="4" fillId="2" borderId="5" xfId="0" applyNumberFormat="1" applyFont="1" applyFill="1" applyBorder="1" applyAlignment="1" applyProtection="1">
      <alignment horizontal="center" vertical="center" wrapText="1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vertical="top" wrapText="1"/>
    </xf>
    <xf numFmtId="4" fontId="1" fillId="2" borderId="5" xfId="0" applyNumberFormat="1" applyFont="1" applyFill="1" applyBorder="1" applyAlignment="1" applyProtection="1">
      <alignment horizontal="center" vertical="center" wrapText="1"/>
    </xf>
    <xf numFmtId="2" fontId="8" fillId="2" borderId="5" xfId="0" applyNumberFormat="1" applyFont="1" applyFill="1" applyBorder="1" applyAlignment="1" applyProtection="1">
      <alignment horizontal="center" vertical="center" wrapText="1"/>
    </xf>
    <xf numFmtId="2" fontId="1" fillId="2" borderId="5" xfId="0" applyNumberFormat="1" applyFont="1" applyFill="1" applyBorder="1" applyAlignment="1" applyProtection="1">
      <alignment horizontal="right" vertical="center" wrapText="1"/>
    </xf>
    <xf numFmtId="2" fontId="1" fillId="0" borderId="5" xfId="0" applyNumberFormat="1" applyFont="1" applyBorder="1" applyAlignment="1" applyProtection="1">
      <alignment horizontal="right" vertical="center" wrapText="1"/>
    </xf>
    <xf numFmtId="49" fontId="2" fillId="0" borderId="5" xfId="0" applyNumberFormat="1" applyFont="1" applyBorder="1" applyAlignment="1" applyProtection="1">
      <alignment horizontal="left" vertical="top" wrapText="1" shrinkToFit="1"/>
    </xf>
    <xf numFmtId="166" fontId="1" fillId="0" borderId="5" xfId="0" applyNumberFormat="1" applyFont="1" applyBorder="1" applyAlignment="1" applyProtection="1">
      <alignment horizontal="center" vertical="center" wrapText="1"/>
    </xf>
    <xf numFmtId="167" fontId="1" fillId="0" borderId="5" xfId="0" applyNumberFormat="1" applyFont="1" applyBorder="1" applyAlignment="1" applyProtection="1">
      <alignment horizontal="center" vertical="center" wrapText="1"/>
    </xf>
    <xf numFmtId="168" fontId="1" fillId="0" borderId="5" xfId="0" applyNumberFormat="1" applyFont="1" applyBorder="1" applyAlignment="1" applyProtection="1">
      <alignment horizontal="right" vertical="center" wrapText="1"/>
    </xf>
    <xf numFmtId="4" fontId="4" fillId="2" borderId="5" xfId="0" applyNumberFormat="1" applyFont="1" applyFill="1" applyBorder="1" applyAlignment="1" applyProtection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 wrapText="1"/>
    </xf>
    <xf numFmtId="49" fontId="2" fillId="5" borderId="5" xfId="0" applyNumberFormat="1" applyFont="1" applyFill="1" applyBorder="1" applyAlignment="1" applyProtection="1">
      <alignment horizontal="center" vertical="center" wrapText="1" shrinkToFit="1"/>
    </xf>
    <xf numFmtId="168" fontId="4" fillId="2" borderId="5" xfId="0" applyNumberFormat="1" applyFont="1" applyFill="1" applyBorder="1" applyAlignment="1" applyProtection="1">
      <alignment horizontal="center" vertical="center" wrapText="1"/>
    </xf>
    <xf numFmtId="168" fontId="1" fillId="0" borderId="5" xfId="0" applyNumberFormat="1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166" fontId="1" fillId="2" borderId="5" xfId="0" applyNumberFormat="1" applyFont="1" applyFill="1" applyBorder="1" applyAlignment="1" applyProtection="1">
      <alignment horizontal="center" vertical="center" wrapText="1"/>
    </xf>
    <xf numFmtId="169" fontId="1" fillId="0" borderId="5" xfId="0" applyNumberFormat="1" applyFont="1" applyBorder="1" applyAlignment="1" applyProtection="1">
      <alignment vertical="center" wrapText="1"/>
    </xf>
    <xf numFmtId="0" fontId="1" fillId="0" borderId="0" xfId="0" applyFont="1" applyAlignment="1" applyProtection="1">
      <alignment horizontal="left" vertical="center" wrapText="1"/>
    </xf>
    <xf numFmtId="166" fontId="1" fillId="0" borderId="0" xfId="0" applyNumberFormat="1" applyFont="1" applyAlignment="1" applyProtection="1">
      <alignment horizontal="center" vertical="center" wrapText="1"/>
    </xf>
    <xf numFmtId="165" fontId="1" fillId="0" borderId="0" xfId="0" applyNumberFormat="1" applyFont="1" applyAlignment="1" applyProtection="1">
      <alignment horizontal="center" vertical="center" wrapText="1"/>
    </xf>
    <xf numFmtId="165" fontId="1" fillId="0" borderId="0" xfId="0" applyNumberFormat="1" applyFont="1" applyAlignment="1" applyProtection="1">
      <alignment horizontal="right" vertical="center" wrapText="1"/>
    </xf>
    <xf numFmtId="0" fontId="3" fillId="0" borderId="1" xfId="0" applyFont="1" applyBorder="1" applyAlignment="1" applyProtection="1">
      <alignment horizontal="center" vertical="center" wrapText="1"/>
    </xf>
    <xf numFmtId="165" fontId="6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vertical="center" wrapText="1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left" vertical="center" wrapText="1"/>
    </xf>
    <xf numFmtId="165" fontId="1" fillId="0" borderId="0" xfId="0" applyNumberFormat="1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 shrinkToFi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6F9D4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FFFFA6"/>
      <rgbColor rgb="FFFFFF99"/>
      <rgbColor rgb="FF99CCFF"/>
      <rgbColor rgb="FFFF99CC"/>
      <rgbColor rgb="FFCC99FF"/>
      <rgbColor rgb="FFFFDBB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./C:/Users/User/R:/&#1052;&#1086;&#1080;%20&#1076;&#1086;&#1082;&#1091;&#1084;&#1077;&#1085;&#1090;&#1099;/Plan-2006_kons_rabota/Dept/FinPlan-Economy/Planning%20System%20Project/consolidation%20hq%20formatt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../C:/Users/User/R:/DOCUME~1/Chirich/LOCALS~1/Temp/DOCUME~1/VOYTOV~1/LOCALS~1/Temp/Rar$DI00.867/Planning%20System%20Project/consolidation%20hq%20formatte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../C:/Users/User/R:/&#1052;&#1086;&#1080;%20&#1076;&#1086;&#1082;&#1091;&#1084;&#1077;&#1085;&#1090;&#1099;/Plan-2006_kons_rabota/Dept/Plan/Exchange/_________________________Plan_ZP/!_&#1055;&#1077;&#1095;&#1072;&#1090;&#1100;/&#1052;&#1058;&#1056;%20&#1074;&#1089;&#1077;%20-%2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../C:/Users/User/S:/Dept/FinPlan-Economy/Planning%20System%20Project/consolidation%20hq%20formatt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993"/>
      <sheetName val="gd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gdp"/>
      <sheetName val="МТР Газ України"/>
      <sheetName val="199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1993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1993"/>
      <sheetName val="Inform"/>
      <sheetName val="7  інші витрати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7  інші витрати"/>
      <sheetName val="Ener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п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99"/>
  </sheetPr>
  <dimension ref="A1:XFC216"/>
  <sheetViews>
    <sheetView tabSelected="1" view="pageBreakPreview" topLeftCell="A13" zoomScale="80" zoomScaleNormal="80" zoomScaleSheetLayoutView="80" zoomScalePageLayoutView="55" workbookViewId="0">
      <selection activeCell="J26" sqref="J26"/>
    </sheetView>
  </sheetViews>
  <sheetFormatPr defaultColWidth="9.140625" defaultRowHeight="18.75" x14ac:dyDescent="0.2"/>
  <cols>
    <col min="1" max="1" width="54.140625" style="1" customWidth="1"/>
    <col min="2" max="2" width="6.85546875" style="2" customWidth="1"/>
    <col min="3" max="3" width="14.85546875" style="2" customWidth="1"/>
    <col min="4" max="4" width="14" style="2" customWidth="1"/>
    <col min="5" max="5" width="14.140625" style="1" customWidth="1"/>
    <col min="6" max="6" width="14" style="1" customWidth="1"/>
    <col min="7" max="7" width="14.42578125" style="1" customWidth="1"/>
    <col min="8" max="8" width="16.5703125" style="1" customWidth="1"/>
    <col min="9" max="9" width="17" style="1" customWidth="1"/>
    <col min="10" max="10" width="61.140625" style="3" customWidth="1"/>
    <col min="11" max="16382" width="9.140625" style="1"/>
    <col min="16383" max="16384" width="11.5703125" customWidth="1"/>
  </cols>
  <sheetData>
    <row r="1" spans="1:9" x14ac:dyDescent="0.2">
      <c r="A1" s="2" t="s">
        <v>0</v>
      </c>
      <c r="C1" s="1"/>
      <c r="H1" s="79" t="s">
        <v>1</v>
      </c>
      <c r="I1" s="79"/>
    </row>
    <row r="2" spans="1:9" x14ac:dyDescent="0.2">
      <c r="A2" s="2" t="s">
        <v>2</v>
      </c>
      <c r="H2" s="4" t="s">
        <v>3</v>
      </c>
      <c r="I2" s="4"/>
    </row>
    <row r="3" spans="1:9" x14ac:dyDescent="0.2">
      <c r="A3" s="2" t="s">
        <v>4</v>
      </c>
      <c r="H3" s="5" t="s">
        <v>163</v>
      </c>
      <c r="I3" s="5" t="s">
        <v>164</v>
      </c>
    </row>
    <row r="4" spans="1:9" x14ac:dyDescent="0.2">
      <c r="A4" s="2" t="s">
        <v>5</v>
      </c>
      <c r="H4" s="5" t="s">
        <v>6</v>
      </c>
      <c r="I4" s="5"/>
    </row>
    <row r="5" spans="1:9" ht="33" customHeight="1" x14ac:dyDescent="0.2">
      <c r="A5" s="2"/>
      <c r="H5" s="1" t="s">
        <v>7</v>
      </c>
      <c r="I5" s="6"/>
    </row>
    <row r="6" spans="1:9" ht="33" customHeight="1" x14ac:dyDescent="0.2">
      <c r="A6" s="89" t="s">
        <v>8</v>
      </c>
      <c r="B6" s="89"/>
      <c r="C6" s="89"/>
      <c r="D6" s="89"/>
      <c r="E6" s="89"/>
      <c r="F6" s="89"/>
      <c r="G6" s="89"/>
      <c r="H6" s="89"/>
      <c r="I6" s="89"/>
    </row>
    <row r="7" spans="1:9" ht="42" customHeight="1" x14ac:dyDescent="0.2">
      <c r="A7" s="89" t="s">
        <v>9</v>
      </c>
      <c r="B7" s="89"/>
      <c r="C7" s="89"/>
      <c r="D7" s="89"/>
      <c r="E7" s="89"/>
      <c r="F7" s="89"/>
      <c r="G7" s="89"/>
      <c r="H7" s="89"/>
      <c r="I7" s="89"/>
    </row>
    <row r="8" spans="1:9" ht="78.75" customHeight="1" x14ac:dyDescent="0.2">
      <c r="A8" s="7" t="s">
        <v>10</v>
      </c>
      <c r="B8" s="87" t="s">
        <v>11</v>
      </c>
      <c r="C8" s="87"/>
      <c r="D8" s="87"/>
      <c r="E8" s="87"/>
      <c r="F8" s="87"/>
      <c r="G8" s="8"/>
      <c r="H8" s="9" t="s">
        <v>12</v>
      </c>
      <c r="I8" s="10">
        <v>1993546</v>
      </c>
    </row>
    <row r="9" spans="1:9" ht="18.75" customHeight="1" x14ac:dyDescent="0.2">
      <c r="A9" s="7" t="s">
        <v>13</v>
      </c>
      <c r="B9" s="87" t="s">
        <v>14</v>
      </c>
      <c r="C9" s="87"/>
      <c r="D9" s="87"/>
      <c r="E9" s="87"/>
      <c r="F9" s="5"/>
      <c r="G9" s="11"/>
      <c r="H9" s="9" t="s">
        <v>15</v>
      </c>
      <c r="I9" s="10"/>
    </row>
    <row r="10" spans="1:9" ht="18.75" customHeight="1" x14ac:dyDescent="0.2">
      <c r="A10" s="7" t="s">
        <v>16</v>
      </c>
      <c r="B10" s="87" t="s">
        <v>17</v>
      </c>
      <c r="C10" s="87"/>
      <c r="D10" s="87"/>
      <c r="E10" s="87"/>
      <c r="F10" s="5"/>
      <c r="G10" s="11"/>
      <c r="H10" s="9" t="s">
        <v>18</v>
      </c>
      <c r="I10" s="10"/>
    </row>
    <row r="11" spans="1:9" ht="36.75" customHeight="1" x14ac:dyDescent="0.2">
      <c r="A11" s="7" t="s">
        <v>19</v>
      </c>
      <c r="B11" s="87" t="s">
        <v>20</v>
      </c>
      <c r="C11" s="87"/>
      <c r="D11" s="87"/>
      <c r="E11" s="87"/>
      <c r="F11" s="87"/>
      <c r="G11" s="8"/>
      <c r="H11" s="9" t="s">
        <v>21</v>
      </c>
      <c r="I11" s="10"/>
    </row>
    <row r="12" spans="1:9" ht="18.75" customHeight="1" x14ac:dyDescent="0.2">
      <c r="A12" s="7" t="s">
        <v>22</v>
      </c>
      <c r="B12" s="87" t="s">
        <v>23</v>
      </c>
      <c r="C12" s="87"/>
      <c r="D12" s="87"/>
      <c r="E12" s="87"/>
      <c r="F12" s="12"/>
      <c r="G12" s="8"/>
      <c r="H12" s="9" t="s">
        <v>24</v>
      </c>
      <c r="I12" s="10"/>
    </row>
    <row r="13" spans="1:9" ht="18.75" customHeight="1" x14ac:dyDescent="0.2">
      <c r="A13" s="7" t="s">
        <v>25</v>
      </c>
      <c r="B13" s="87" t="s">
        <v>26</v>
      </c>
      <c r="C13" s="87"/>
      <c r="D13" s="87"/>
      <c r="E13" s="87"/>
      <c r="F13" s="12"/>
      <c r="G13" s="13"/>
      <c r="H13" s="14" t="s">
        <v>27</v>
      </c>
      <c r="I13" s="10" t="s">
        <v>28</v>
      </c>
    </row>
    <row r="14" spans="1:9" ht="18.75" customHeight="1" x14ac:dyDescent="0.2">
      <c r="A14" s="7" t="s">
        <v>29</v>
      </c>
      <c r="B14" s="87" t="s">
        <v>30</v>
      </c>
      <c r="C14" s="87"/>
      <c r="D14" s="87"/>
      <c r="E14" s="87"/>
      <c r="F14" s="88"/>
      <c r="G14" s="88"/>
      <c r="H14" s="88"/>
      <c r="I14" s="15"/>
    </row>
    <row r="15" spans="1:9" ht="18.75" customHeight="1" x14ac:dyDescent="0.2">
      <c r="A15" s="7" t="s">
        <v>31</v>
      </c>
      <c r="B15" s="87" t="s">
        <v>32</v>
      </c>
      <c r="C15" s="87"/>
      <c r="D15" s="87"/>
      <c r="E15" s="87"/>
      <c r="F15" s="88"/>
      <c r="G15" s="88"/>
      <c r="H15" s="88"/>
      <c r="I15" s="16"/>
    </row>
    <row r="16" spans="1:9" ht="37.5" x14ac:dyDescent="0.2">
      <c r="A16" s="7" t="s">
        <v>33</v>
      </c>
      <c r="B16" s="85">
        <v>619</v>
      </c>
      <c r="C16" s="85"/>
      <c r="D16" s="85"/>
      <c r="E16" s="85"/>
      <c r="F16" s="12"/>
      <c r="G16" s="12"/>
      <c r="H16" s="12"/>
      <c r="I16" s="8"/>
    </row>
    <row r="17" spans="1:10 16383:16383" ht="41.25" customHeight="1" x14ac:dyDescent="0.2">
      <c r="A17" s="7" t="s">
        <v>34</v>
      </c>
      <c r="B17" s="85" t="s">
        <v>35</v>
      </c>
      <c r="C17" s="85"/>
      <c r="D17" s="85"/>
      <c r="E17" s="85"/>
      <c r="F17" s="85"/>
      <c r="G17" s="5"/>
      <c r="H17" s="5"/>
      <c r="I17" s="11"/>
    </row>
    <row r="18" spans="1:10 16383:16383" ht="18.75" customHeight="1" x14ac:dyDescent="0.2">
      <c r="A18" s="7" t="s">
        <v>36</v>
      </c>
      <c r="B18" s="85" t="s">
        <v>37</v>
      </c>
      <c r="C18" s="85"/>
      <c r="D18" s="85"/>
      <c r="E18" s="85"/>
      <c r="F18" s="12"/>
      <c r="G18" s="12"/>
      <c r="H18" s="12"/>
      <c r="I18" s="8"/>
    </row>
    <row r="19" spans="1:10 16383:16383" ht="18.75" customHeight="1" x14ac:dyDescent="0.2">
      <c r="A19" s="7" t="s">
        <v>38</v>
      </c>
      <c r="B19" s="85" t="s">
        <v>39</v>
      </c>
      <c r="C19" s="85"/>
      <c r="D19" s="85"/>
      <c r="E19" s="85"/>
      <c r="F19" s="5"/>
      <c r="G19" s="5"/>
      <c r="H19" s="5"/>
      <c r="I19" s="11"/>
    </row>
    <row r="20" spans="1:10 16383:16383" ht="20.25" customHeight="1" x14ac:dyDescent="0.2">
      <c r="A20" s="17"/>
      <c r="B20" s="18"/>
      <c r="C20" s="17"/>
      <c r="D20" s="17"/>
      <c r="E20" s="17"/>
      <c r="F20" s="17"/>
      <c r="G20" s="17"/>
      <c r="H20" s="17"/>
      <c r="I20" s="17" t="s">
        <v>40</v>
      </c>
    </row>
    <row r="21" spans="1:10 16383:16383" ht="36" customHeight="1" x14ac:dyDescent="0.2">
      <c r="A21" s="86" t="s">
        <v>41</v>
      </c>
      <c r="B21" s="83" t="s">
        <v>42</v>
      </c>
      <c r="C21" s="83" t="s">
        <v>43</v>
      </c>
      <c r="D21" s="83" t="s">
        <v>44</v>
      </c>
      <c r="E21" s="83" t="s">
        <v>45</v>
      </c>
      <c r="F21" s="83" t="s">
        <v>46</v>
      </c>
      <c r="G21" s="83"/>
      <c r="H21" s="83"/>
      <c r="I21" s="83"/>
      <c r="J21" s="84" t="s">
        <v>47</v>
      </c>
    </row>
    <row r="22" spans="1:10 16383:16383" ht="61.5" customHeight="1" x14ac:dyDescent="0.2">
      <c r="A22" s="86"/>
      <c r="B22" s="83"/>
      <c r="C22" s="83"/>
      <c r="D22" s="83"/>
      <c r="E22" s="83"/>
      <c r="F22" s="20" t="s">
        <v>48</v>
      </c>
      <c r="G22" s="20" t="s">
        <v>49</v>
      </c>
      <c r="H22" s="20" t="s">
        <v>50</v>
      </c>
      <c r="I22" s="20" t="s">
        <v>51</v>
      </c>
      <c r="J22" s="84"/>
    </row>
    <row r="23" spans="1:10 16383:16383" ht="18" customHeight="1" x14ac:dyDescent="0.2">
      <c r="A23" s="10">
        <v>1</v>
      </c>
      <c r="B23" s="15">
        <v>2</v>
      </c>
      <c r="C23" s="15">
        <v>3</v>
      </c>
      <c r="D23" s="15">
        <v>4</v>
      </c>
      <c r="E23" s="15">
        <v>5</v>
      </c>
      <c r="F23" s="15">
        <v>6</v>
      </c>
      <c r="G23" s="15">
        <v>7</v>
      </c>
      <c r="H23" s="15">
        <v>8</v>
      </c>
      <c r="I23" s="15">
        <v>9</v>
      </c>
      <c r="J23" s="19">
        <v>10</v>
      </c>
    </row>
    <row r="24" spans="1:10 16383:16383" ht="18" customHeight="1" x14ac:dyDescent="0.2">
      <c r="A24" s="80" t="s">
        <v>52</v>
      </c>
      <c r="B24" s="80"/>
      <c r="C24" s="80"/>
      <c r="D24" s="80"/>
      <c r="E24" s="80"/>
      <c r="F24" s="80"/>
      <c r="G24" s="80"/>
      <c r="H24" s="80"/>
      <c r="I24" s="80"/>
      <c r="J24" s="19"/>
    </row>
    <row r="25" spans="1:10 16383:16383" s="22" customFormat="1" ht="19.5" customHeight="1" x14ac:dyDescent="0.2">
      <c r="A25" s="80" t="s">
        <v>53</v>
      </c>
      <c r="B25" s="80"/>
      <c r="C25" s="80"/>
      <c r="D25" s="80"/>
      <c r="E25" s="80"/>
      <c r="F25" s="80"/>
      <c r="G25" s="80"/>
      <c r="H25" s="80"/>
      <c r="I25" s="80"/>
      <c r="J25" s="80"/>
      <c r="XFC25"/>
    </row>
    <row r="26" spans="1:10 16383:16383" s="22" customFormat="1" ht="98.25" customHeight="1" x14ac:dyDescent="0.2">
      <c r="A26" s="23" t="s">
        <v>54</v>
      </c>
      <c r="B26" s="10">
        <v>100</v>
      </c>
      <c r="C26" s="24">
        <v>172627.3</v>
      </c>
      <c r="D26" s="25">
        <f>E26</f>
        <v>176814.4</v>
      </c>
      <c r="E26" s="26">
        <f>F26+G26+H26+I26</f>
        <v>176814.4</v>
      </c>
      <c r="F26" s="27">
        <f>F27+F28+F30+F33</f>
        <v>46335.199999999997</v>
      </c>
      <c r="G26" s="27">
        <f>G27+G28+G30</f>
        <v>42536.1</v>
      </c>
      <c r="H26" s="27">
        <f>H27+H28+H30</f>
        <v>44641.100000000006</v>
      </c>
      <c r="I26" s="27">
        <f>I27+I28+I30</f>
        <v>43302</v>
      </c>
      <c r="J26" s="28"/>
      <c r="XFC26"/>
    </row>
    <row r="27" spans="1:10 16383:16383" s="22" customFormat="1" ht="94.5" customHeight="1" x14ac:dyDescent="0.2">
      <c r="A27" s="23" t="s">
        <v>55</v>
      </c>
      <c r="B27" s="10">
        <v>110</v>
      </c>
      <c r="C27" s="24">
        <v>9038.5</v>
      </c>
      <c r="D27" s="25">
        <f>E27</f>
        <v>9334.7999999999993</v>
      </c>
      <c r="E27" s="26">
        <f>F27+G27+H27+I27</f>
        <v>9334.7999999999993</v>
      </c>
      <c r="F27" s="29">
        <v>4059</v>
      </c>
      <c r="G27" s="29">
        <v>1882.6</v>
      </c>
      <c r="H27" s="29">
        <f>1687.8+454.1</f>
        <v>2141.9</v>
      </c>
      <c r="I27" s="29">
        <f>651.3+600</f>
        <v>1251.3</v>
      </c>
      <c r="J27" s="30" t="s">
        <v>56</v>
      </c>
      <c r="XFC27"/>
    </row>
    <row r="28" spans="1:10 16383:16383" s="22" customFormat="1" ht="37.5" x14ac:dyDescent="0.2">
      <c r="A28" s="23" t="s">
        <v>57</v>
      </c>
      <c r="B28" s="10">
        <v>120</v>
      </c>
      <c r="C28" s="24">
        <v>148.30000000000001</v>
      </c>
      <c r="D28" s="25">
        <f>E28</f>
        <v>410</v>
      </c>
      <c r="E28" s="26">
        <f>SUM(F28:I28)</f>
        <v>410</v>
      </c>
      <c r="F28" s="29"/>
      <c r="G28" s="29">
        <v>2</v>
      </c>
      <c r="H28" s="29">
        <v>24</v>
      </c>
      <c r="I28" s="29">
        <f>24+360</f>
        <v>384</v>
      </c>
      <c r="J28" s="30"/>
      <c r="XFC28"/>
    </row>
    <row r="29" spans="1:10 16383:16383" s="22" customFormat="1" ht="52.5" customHeight="1" x14ac:dyDescent="0.2">
      <c r="A29" s="31" t="s">
        <v>58</v>
      </c>
      <c r="B29" s="32">
        <v>121</v>
      </c>
      <c r="C29" s="24">
        <v>148.30000000000001</v>
      </c>
      <c r="D29" s="25">
        <f>E29</f>
        <v>410</v>
      </c>
      <c r="E29" s="33">
        <f>F29+G29+H29+I29</f>
        <v>410</v>
      </c>
      <c r="F29" s="29"/>
      <c r="G29" s="29">
        <v>2</v>
      </c>
      <c r="H29" s="29">
        <v>24</v>
      </c>
      <c r="I29" s="29">
        <f>24+360</f>
        <v>384</v>
      </c>
      <c r="J29" s="30" t="s">
        <v>59</v>
      </c>
      <c r="XFC29"/>
    </row>
    <row r="30" spans="1:10 16383:16383" s="22" customFormat="1" ht="31.5" x14ac:dyDescent="0.2">
      <c r="A30" s="23" t="s">
        <v>60</v>
      </c>
      <c r="B30" s="10">
        <v>130</v>
      </c>
      <c r="C30" s="24">
        <v>162733.79999999999</v>
      </c>
      <c r="D30" s="34">
        <f>E30</f>
        <v>165838</v>
      </c>
      <c r="E30" s="26">
        <f>SUM(F30:I30)</f>
        <v>165838</v>
      </c>
      <c r="F30" s="24">
        <v>41044.6</v>
      </c>
      <c r="G30" s="24">
        <v>40651.5</v>
      </c>
      <c r="H30" s="24">
        <f>41563.4+911.8</f>
        <v>42475.200000000004</v>
      </c>
      <c r="I30" s="24">
        <v>41666.699999999997</v>
      </c>
      <c r="J30" s="35" t="s">
        <v>61</v>
      </c>
      <c r="XFC30"/>
    </row>
    <row r="31" spans="1:10 16383:16383" s="22" customFormat="1" x14ac:dyDescent="0.2">
      <c r="A31" s="23" t="s">
        <v>62</v>
      </c>
      <c r="B31" s="10">
        <v>132</v>
      </c>
      <c r="C31" s="24"/>
      <c r="D31" s="34"/>
      <c r="E31" s="26"/>
      <c r="F31" s="24"/>
      <c r="G31" s="24"/>
      <c r="H31" s="24"/>
      <c r="I31" s="24"/>
      <c r="J31" s="30"/>
      <c r="XFC31"/>
    </row>
    <row r="32" spans="1:10 16383:16383" s="22" customFormat="1" ht="37.5" x14ac:dyDescent="0.2">
      <c r="A32" s="23" t="s">
        <v>63</v>
      </c>
      <c r="B32" s="10">
        <v>133</v>
      </c>
      <c r="C32" s="24"/>
      <c r="D32" s="34"/>
      <c r="E32" s="26"/>
      <c r="F32" s="24"/>
      <c r="G32" s="24"/>
      <c r="H32" s="24"/>
      <c r="I32" s="24"/>
      <c r="J32" s="30"/>
      <c r="XFC32"/>
    </row>
    <row r="33" spans="1:10 16383:16383" s="22" customFormat="1" ht="37.5" x14ac:dyDescent="0.2">
      <c r="A33" s="16" t="s">
        <v>64</v>
      </c>
      <c r="B33" s="10">
        <v>140</v>
      </c>
      <c r="C33" s="24">
        <v>706.7</v>
      </c>
      <c r="D33" s="34">
        <f t="shared" ref="D33:D71" si="0">E33</f>
        <v>1231.5999999999999</v>
      </c>
      <c r="E33" s="26">
        <f>SUM(F33:I33)</f>
        <v>1231.5999999999999</v>
      </c>
      <c r="F33" s="24">
        <v>1231.5999999999999</v>
      </c>
      <c r="G33" s="24">
        <v>0</v>
      </c>
      <c r="H33" s="24">
        <v>0</v>
      </c>
      <c r="I33" s="24">
        <v>0</v>
      </c>
      <c r="J33" s="30"/>
      <c r="XFC33"/>
    </row>
    <row r="34" spans="1:10 16383:16383" ht="45.75" customHeight="1" x14ac:dyDescent="0.2">
      <c r="A34" s="21" t="s">
        <v>65</v>
      </c>
      <c r="B34" s="36">
        <v>150</v>
      </c>
      <c r="C34" s="37">
        <v>171395.6</v>
      </c>
      <c r="D34" s="25">
        <f t="shared" si="0"/>
        <v>177031.24</v>
      </c>
      <c r="E34" s="26">
        <f>SUM(F34:I34)</f>
        <v>177031.24</v>
      </c>
      <c r="F34" s="27">
        <f>SUM(F35,F39,F45,F46,F48,F49,F50,F47,F84,)</f>
        <v>46335.249999999993</v>
      </c>
      <c r="G34" s="27">
        <f>SUM(G35,G39,G45,G46,G48,G49,G50,G47,G84,)</f>
        <v>42536.090000000004</v>
      </c>
      <c r="H34" s="27">
        <f>SUM(H35,H39,H45,H46,H48,H49,H50,H47,H84,)</f>
        <v>44441.100000000006</v>
      </c>
      <c r="I34" s="27">
        <f>SUM(I35,I39,I45,I46,I48,I49,I50,I47,I84,)</f>
        <v>43718.8</v>
      </c>
      <c r="J34" s="19"/>
    </row>
    <row r="35" spans="1:10 16383:16383" ht="41.25" customHeight="1" x14ac:dyDescent="0.2">
      <c r="A35" s="23" t="s">
        <v>66</v>
      </c>
      <c r="B35" s="15">
        <v>160</v>
      </c>
      <c r="C35" s="38">
        <v>23254.1</v>
      </c>
      <c r="D35" s="25">
        <f t="shared" si="0"/>
        <v>24998</v>
      </c>
      <c r="E35" s="26">
        <f>SUM(F35:I35)</f>
        <v>24998</v>
      </c>
      <c r="F35" s="24">
        <f>SUM(F36:F38)</f>
        <v>6630.5</v>
      </c>
      <c r="G35" s="24">
        <f>SUM(G36:G38)</f>
        <v>6432.5</v>
      </c>
      <c r="H35" s="24">
        <f>SUM(H36:H38)</f>
        <v>6804.5</v>
      </c>
      <c r="I35" s="39">
        <f>SUM(I36:I38)</f>
        <v>5130.5</v>
      </c>
      <c r="J35" s="19"/>
    </row>
    <row r="36" spans="1:10 16383:16383" ht="51.75" customHeight="1" x14ac:dyDescent="0.2">
      <c r="A36" s="31" t="s">
        <v>67</v>
      </c>
      <c r="B36" s="40">
        <v>161</v>
      </c>
      <c r="C36" s="38">
        <v>19593.599999999999</v>
      </c>
      <c r="D36" s="25">
        <f t="shared" si="0"/>
        <v>20676</v>
      </c>
      <c r="E36" s="33">
        <f>F36+G36+H36+I36</f>
        <v>20676</v>
      </c>
      <c r="F36" s="24">
        <f>5350</f>
        <v>5350</v>
      </c>
      <c r="G36" s="29">
        <f>5350+2</f>
        <v>5352</v>
      </c>
      <c r="H36" s="29">
        <f>5350+24+100</f>
        <v>5474</v>
      </c>
      <c r="I36" s="41">
        <f>5350+24+100-974</f>
        <v>4500</v>
      </c>
      <c r="J36" s="42" t="s">
        <v>68</v>
      </c>
    </row>
    <row r="37" spans="1:10 16383:16383" ht="28.5" customHeight="1" x14ac:dyDescent="0.2">
      <c r="A37" s="31" t="s">
        <v>69</v>
      </c>
      <c r="B37" s="40">
        <v>162</v>
      </c>
      <c r="C37" s="38">
        <v>883.9</v>
      </c>
      <c r="D37" s="25">
        <f t="shared" si="0"/>
        <v>1800</v>
      </c>
      <c r="E37" s="33">
        <f>F37+G37+H37+I37</f>
        <v>1800</v>
      </c>
      <c r="F37" s="29">
        <v>400</v>
      </c>
      <c r="G37" s="29">
        <v>400</v>
      </c>
      <c r="H37" s="29">
        <f>400+100</f>
        <v>500</v>
      </c>
      <c r="I37" s="43">
        <f>400+100</f>
        <v>500</v>
      </c>
      <c r="J37" s="42"/>
    </row>
    <row r="38" spans="1:10 16383:16383" ht="106.5" customHeight="1" x14ac:dyDescent="0.2">
      <c r="A38" s="31" t="s">
        <v>70</v>
      </c>
      <c r="B38" s="40">
        <v>163</v>
      </c>
      <c r="C38" s="38">
        <v>2776.6</v>
      </c>
      <c r="D38" s="25">
        <f t="shared" si="0"/>
        <v>2522</v>
      </c>
      <c r="E38" s="33">
        <f>F38+G38+H38+I38</f>
        <v>2522</v>
      </c>
      <c r="F38" s="29">
        <f>680.5+200</f>
        <v>880.5</v>
      </c>
      <c r="G38" s="29">
        <v>680.5</v>
      </c>
      <c r="H38" s="29">
        <f>680.5+150</f>
        <v>830.5</v>
      </c>
      <c r="I38" s="41">
        <f>680.5+150-700</f>
        <v>130.5</v>
      </c>
      <c r="J38" s="44" t="s">
        <v>71</v>
      </c>
    </row>
    <row r="39" spans="1:10 16383:16383" ht="34.5" customHeight="1" x14ac:dyDescent="0.2">
      <c r="A39" s="23" t="s">
        <v>72</v>
      </c>
      <c r="B39" s="15">
        <v>170</v>
      </c>
      <c r="C39" s="45">
        <v>9134.5</v>
      </c>
      <c r="D39" s="26">
        <f t="shared" si="0"/>
        <v>9434.7999999999993</v>
      </c>
      <c r="E39" s="26">
        <f>SUM(E40:E44)</f>
        <v>9434.7999999999993</v>
      </c>
      <c r="F39" s="33">
        <f>F40+F41+F42+F43+F44</f>
        <v>4084.0000000000005</v>
      </c>
      <c r="G39" s="33">
        <f>G40+G41+G42+G43+G44</f>
        <v>1907.6</v>
      </c>
      <c r="H39" s="33">
        <f>H40+H41+H42+H43+H44</f>
        <v>2173.1</v>
      </c>
      <c r="I39" s="33">
        <f>I40+I41+I42+I43+I44</f>
        <v>1270.0999999999999</v>
      </c>
      <c r="J39" s="19"/>
    </row>
    <row r="40" spans="1:10 16383:16383" ht="34.5" customHeight="1" x14ac:dyDescent="0.2">
      <c r="A40" s="31" t="s">
        <v>73</v>
      </c>
      <c r="B40" s="15">
        <v>171</v>
      </c>
      <c r="C40" s="38">
        <v>2862.4</v>
      </c>
      <c r="D40" s="25">
        <f t="shared" si="0"/>
        <v>3134.2000000000003</v>
      </c>
      <c r="E40" s="45">
        <f>F40+G40+H40+I40</f>
        <v>3134.2000000000003</v>
      </c>
      <c r="F40" s="38">
        <v>2356.3000000000002</v>
      </c>
      <c r="G40" s="38">
        <f>148.4</f>
        <v>148.4</v>
      </c>
      <c r="H40" s="38">
        <f>454.1+175.4</f>
        <v>629.5</v>
      </c>
      <c r="I40" s="38"/>
      <c r="J40" s="19"/>
    </row>
    <row r="41" spans="1:10 16383:16383" ht="36" customHeight="1" x14ac:dyDescent="0.2">
      <c r="A41" s="31" t="s">
        <v>74</v>
      </c>
      <c r="B41" s="40">
        <v>172</v>
      </c>
      <c r="C41" s="38">
        <v>4452.6000000000004</v>
      </c>
      <c r="D41" s="25">
        <f t="shared" si="0"/>
        <v>4686.3</v>
      </c>
      <c r="E41" s="45">
        <f>F41+G41+H41+I41</f>
        <v>4686.3</v>
      </c>
      <c r="F41" s="38">
        <v>1222.9000000000001</v>
      </c>
      <c r="G41" s="38">
        <v>1319.8</v>
      </c>
      <c r="H41" s="38">
        <v>1167</v>
      </c>
      <c r="I41" s="46">
        <f>476.6+500</f>
        <v>976.6</v>
      </c>
      <c r="J41" s="19"/>
    </row>
    <row r="42" spans="1:10 16383:16383" ht="40.5" customHeight="1" x14ac:dyDescent="0.2">
      <c r="A42" s="31" t="s">
        <v>75</v>
      </c>
      <c r="B42" s="40">
        <v>173</v>
      </c>
      <c r="C42" s="38">
        <v>839.8</v>
      </c>
      <c r="D42" s="25">
        <f t="shared" si="0"/>
        <v>773.30000000000007</v>
      </c>
      <c r="E42" s="45">
        <f>F42+G42+H42+I42</f>
        <v>773.30000000000007</v>
      </c>
      <c r="F42" s="38">
        <v>165.9</v>
      </c>
      <c r="G42" s="38">
        <v>191.3</v>
      </c>
      <c r="H42" s="38">
        <f>149.6+100</f>
        <v>249.6</v>
      </c>
      <c r="I42" s="46">
        <f>66.5+100</f>
        <v>166.5</v>
      </c>
      <c r="J42" s="19"/>
    </row>
    <row r="43" spans="1:10 16383:16383" ht="30" customHeight="1" x14ac:dyDescent="0.2">
      <c r="A43" s="31" t="s">
        <v>76</v>
      </c>
      <c r="B43" s="40">
        <v>174</v>
      </c>
      <c r="C43" s="38">
        <v>883.8</v>
      </c>
      <c r="D43" s="25">
        <f t="shared" si="0"/>
        <v>741</v>
      </c>
      <c r="E43" s="45">
        <f>F43+G43+H43+I43</f>
        <v>741</v>
      </c>
      <c r="F43" s="38">
        <v>313.89999999999998</v>
      </c>
      <c r="G43" s="38">
        <v>223.1</v>
      </c>
      <c r="H43" s="38">
        <v>102</v>
      </c>
      <c r="I43" s="38">
        <v>102</v>
      </c>
      <c r="J43" s="47"/>
    </row>
    <row r="44" spans="1:10 16383:16383" ht="19.5" customHeight="1" x14ac:dyDescent="0.2">
      <c r="A44" s="31" t="s">
        <v>77</v>
      </c>
      <c r="B44" s="40">
        <v>175</v>
      </c>
      <c r="C44" s="38">
        <v>96</v>
      </c>
      <c r="D44" s="25">
        <f t="shared" si="0"/>
        <v>100</v>
      </c>
      <c r="E44" s="45">
        <f>SUM(F44:I44)</f>
        <v>100</v>
      </c>
      <c r="F44" s="38">
        <v>25</v>
      </c>
      <c r="G44" s="38">
        <v>25</v>
      </c>
      <c r="H44" s="38">
        <v>25</v>
      </c>
      <c r="I44" s="38">
        <v>25</v>
      </c>
      <c r="J44" s="30" t="s">
        <v>78</v>
      </c>
    </row>
    <row r="45" spans="1:10 16383:16383" ht="19.5" customHeight="1" x14ac:dyDescent="0.2">
      <c r="A45" s="23" t="s">
        <v>79</v>
      </c>
      <c r="B45" s="15">
        <v>180</v>
      </c>
      <c r="C45" s="38">
        <v>109242.9</v>
      </c>
      <c r="D45" s="25">
        <f t="shared" si="0"/>
        <v>112645.22</v>
      </c>
      <c r="E45" s="48">
        <f>SUM(F45:I45)</f>
        <v>112645.22</v>
      </c>
      <c r="F45" s="38">
        <f>28381.8-164.78-36.4</f>
        <v>28180.62</v>
      </c>
      <c r="G45" s="38">
        <v>27008.2</v>
      </c>
      <c r="H45" s="38">
        <f>27008.2+800</f>
        <v>27808.2</v>
      </c>
      <c r="I45" s="46">
        <f>27008.2+1400+540+700</f>
        <v>29648.2</v>
      </c>
      <c r="J45" s="19"/>
    </row>
    <row r="46" spans="1:10 16383:16383" ht="19.5" customHeight="1" x14ac:dyDescent="0.2">
      <c r="A46" s="23" t="s">
        <v>80</v>
      </c>
      <c r="B46" s="15">
        <v>190</v>
      </c>
      <c r="C46" s="38">
        <v>23306.2</v>
      </c>
      <c r="D46" s="25">
        <f t="shared" si="0"/>
        <v>24394.019999999997</v>
      </c>
      <c r="E46" s="48">
        <f>SUM(F46:I46)</f>
        <v>24394.019999999997</v>
      </c>
      <c r="F46" s="38">
        <f>6068.95-35.22</f>
        <v>6033.73</v>
      </c>
      <c r="G46" s="38">
        <v>5817.79</v>
      </c>
      <c r="H46" s="38">
        <f>5817.79+176.11</f>
        <v>5993.9</v>
      </c>
      <c r="I46" s="46">
        <f>5817.8+400+160+170.8</f>
        <v>6548.6</v>
      </c>
      <c r="J46" s="19"/>
    </row>
    <row r="47" spans="1:10 16383:16383" ht="19.5" customHeight="1" x14ac:dyDescent="0.2">
      <c r="A47" s="23" t="s">
        <v>81</v>
      </c>
      <c r="B47" s="15">
        <v>200</v>
      </c>
      <c r="C47" s="24">
        <v>0</v>
      </c>
      <c r="D47" s="25">
        <f t="shared" si="0"/>
        <v>0</v>
      </c>
      <c r="E47" s="48">
        <f>SUM(F47:I47)</f>
        <v>0</v>
      </c>
      <c r="F47" s="38">
        <v>0</v>
      </c>
      <c r="G47" s="38">
        <v>0</v>
      </c>
      <c r="H47" s="38">
        <v>0</v>
      </c>
      <c r="I47" s="38">
        <v>0</v>
      </c>
      <c r="J47" s="19"/>
    </row>
    <row r="48" spans="1:10 16383:16383" ht="285" customHeight="1" x14ac:dyDescent="0.2">
      <c r="A48" s="23" t="s">
        <v>82</v>
      </c>
      <c r="B48" s="15">
        <v>210</v>
      </c>
      <c r="C48" s="24">
        <v>3277</v>
      </c>
      <c r="D48" s="25">
        <f t="shared" si="0"/>
        <v>3362.8</v>
      </c>
      <c r="E48" s="48">
        <f t="shared" ref="E48:E54" si="1">F48+G48+H48+I48</f>
        <v>3362.8</v>
      </c>
      <c r="F48" s="38">
        <v>875</v>
      </c>
      <c r="G48" s="38">
        <v>875</v>
      </c>
      <c r="H48" s="38">
        <f>875+141.4</f>
        <v>1016.4</v>
      </c>
      <c r="I48" s="46">
        <f>875+421.4-700</f>
        <v>596.40000000000009</v>
      </c>
      <c r="J48" s="42" t="s">
        <v>83</v>
      </c>
    </row>
    <row r="49" spans="1:10" ht="19.5" customHeight="1" x14ac:dyDescent="0.2">
      <c r="A49" s="23" t="s">
        <v>84</v>
      </c>
      <c r="B49" s="15">
        <v>220</v>
      </c>
      <c r="C49" s="24"/>
      <c r="D49" s="25">
        <f t="shared" si="0"/>
        <v>0</v>
      </c>
      <c r="E49" s="49">
        <f t="shared" si="1"/>
        <v>0</v>
      </c>
      <c r="F49" s="50">
        <v>0</v>
      </c>
      <c r="G49" s="50"/>
      <c r="H49" s="50"/>
      <c r="I49" s="50"/>
      <c r="J49" s="19"/>
    </row>
    <row r="50" spans="1:10" ht="44.25" customHeight="1" x14ac:dyDescent="0.2">
      <c r="A50" s="23" t="s">
        <v>85</v>
      </c>
      <c r="B50" s="15">
        <v>230</v>
      </c>
      <c r="C50" s="24">
        <v>917.5</v>
      </c>
      <c r="D50" s="25">
        <f t="shared" si="0"/>
        <v>576</v>
      </c>
      <c r="E50" s="48">
        <f t="shared" si="1"/>
        <v>576</v>
      </c>
      <c r="F50" s="38">
        <f>F52+F53+F54</f>
        <v>186</v>
      </c>
      <c r="G50" s="38">
        <f>G52+G53+G54</f>
        <v>170</v>
      </c>
      <c r="H50" s="38">
        <f>H52+H53+H54</f>
        <v>170</v>
      </c>
      <c r="I50" s="38">
        <f>I52+I53+I54</f>
        <v>50</v>
      </c>
      <c r="J50" s="51"/>
    </row>
    <row r="51" spans="1:10" ht="26.25" customHeight="1" x14ac:dyDescent="0.2">
      <c r="A51" s="31" t="s">
        <v>86</v>
      </c>
      <c r="B51" s="40">
        <v>231</v>
      </c>
      <c r="C51" s="24"/>
      <c r="D51" s="25">
        <f t="shared" si="0"/>
        <v>0</v>
      </c>
      <c r="E51" s="45">
        <f t="shared" si="1"/>
        <v>0</v>
      </c>
      <c r="F51" s="38"/>
      <c r="G51" s="38"/>
      <c r="H51" s="38"/>
      <c r="I51" s="38"/>
      <c r="J51" s="51"/>
    </row>
    <row r="52" spans="1:10" ht="20.25" customHeight="1" x14ac:dyDescent="0.2">
      <c r="A52" s="31" t="s">
        <v>87</v>
      </c>
      <c r="B52" s="40">
        <v>232</v>
      </c>
      <c r="C52" s="24">
        <v>636.20000000000005</v>
      </c>
      <c r="D52" s="25">
        <f t="shared" si="0"/>
        <v>560</v>
      </c>
      <c r="E52" s="45">
        <f t="shared" si="1"/>
        <v>560</v>
      </c>
      <c r="F52" s="38">
        <v>170</v>
      </c>
      <c r="G52" s="38">
        <v>170</v>
      </c>
      <c r="H52" s="38">
        <v>170</v>
      </c>
      <c r="I52" s="46">
        <f>170-120</f>
        <v>50</v>
      </c>
      <c r="J52" s="51"/>
    </row>
    <row r="53" spans="1:10" ht="30" customHeight="1" x14ac:dyDescent="0.2">
      <c r="A53" s="31" t="s">
        <v>88</v>
      </c>
      <c r="B53" s="40">
        <v>233</v>
      </c>
      <c r="C53" s="24">
        <v>281.3</v>
      </c>
      <c r="D53" s="25">
        <f t="shared" si="0"/>
        <v>0</v>
      </c>
      <c r="E53" s="45">
        <f t="shared" si="1"/>
        <v>0</v>
      </c>
      <c r="F53" s="38"/>
      <c r="G53" s="38"/>
      <c r="H53" s="38"/>
      <c r="I53" s="38"/>
      <c r="J53" s="51"/>
    </row>
    <row r="54" spans="1:10" ht="64.5" customHeight="1" x14ac:dyDescent="0.2">
      <c r="A54" s="31" t="s">
        <v>89</v>
      </c>
      <c r="B54" s="40">
        <v>234</v>
      </c>
      <c r="C54" s="24"/>
      <c r="D54" s="25">
        <f t="shared" si="0"/>
        <v>16</v>
      </c>
      <c r="E54" s="45">
        <f t="shared" si="1"/>
        <v>16</v>
      </c>
      <c r="F54" s="38">
        <v>16</v>
      </c>
      <c r="G54" s="38"/>
      <c r="H54" s="38"/>
      <c r="I54" s="38"/>
      <c r="J54" s="51" t="s">
        <v>90</v>
      </c>
    </row>
    <row r="55" spans="1:10" ht="33" customHeight="1" x14ac:dyDescent="0.2">
      <c r="A55" s="23" t="s">
        <v>91</v>
      </c>
      <c r="B55" s="10">
        <v>240</v>
      </c>
      <c r="C55" s="52">
        <f>SUM(C56:C67,C68)</f>
        <v>0</v>
      </c>
      <c r="D55" s="26">
        <f t="shared" si="0"/>
        <v>0</v>
      </c>
      <c r="E55" s="48">
        <f>SUM(F55:I55)</f>
        <v>0</v>
      </c>
      <c r="F55" s="45">
        <f>SUM(F56:F67,F68)</f>
        <v>0</v>
      </c>
      <c r="G55" s="45">
        <f>SUM(G56:G67,G68)</f>
        <v>0</v>
      </c>
      <c r="H55" s="45">
        <f>SUM(H56:H67,H68)</f>
        <v>0</v>
      </c>
      <c r="I55" s="45">
        <f>SUM(I56:I67,I68)</f>
        <v>0</v>
      </c>
      <c r="J55" s="19"/>
    </row>
    <row r="56" spans="1:10" ht="38.25" customHeight="1" x14ac:dyDescent="0.2">
      <c r="A56" s="31" t="s">
        <v>92</v>
      </c>
      <c r="B56" s="32">
        <v>241</v>
      </c>
      <c r="C56" s="24"/>
      <c r="D56" s="25">
        <f t="shared" si="0"/>
        <v>0</v>
      </c>
      <c r="E56" s="45">
        <f>F56+G56+H56+I56</f>
        <v>0</v>
      </c>
      <c r="F56" s="38"/>
      <c r="G56" s="38"/>
      <c r="H56" s="38"/>
      <c r="I56" s="38"/>
      <c r="J56" s="30"/>
    </row>
    <row r="57" spans="1:10" ht="42.75" customHeight="1" x14ac:dyDescent="0.2">
      <c r="A57" s="31" t="s">
        <v>93</v>
      </c>
      <c r="B57" s="32">
        <v>242</v>
      </c>
      <c r="C57" s="24"/>
      <c r="D57" s="25">
        <f t="shared" si="0"/>
        <v>0</v>
      </c>
      <c r="E57" s="45">
        <f>SUM(F57:I57)</f>
        <v>0</v>
      </c>
      <c r="F57" s="38"/>
      <c r="G57" s="38"/>
      <c r="H57" s="38"/>
      <c r="I57" s="38"/>
      <c r="J57" s="30"/>
    </row>
    <row r="58" spans="1:10" ht="56.25" customHeight="1" x14ac:dyDescent="0.2">
      <c r="A58" s="31" t="s">
        <v>94</v>
      </c>
      <c r="B58" s="32">
        <v>243</v>
      </c>
      <c r="C58" s="24"/>
      <c r="D58" s="25">
        <f t="shared" si="0"/>
        <v>0</v>
      </c>
      <c r="E58" s="45">
        <f>F58+G58+H58+I58</f>
        <v>0</v>
      </c>
      <c r="F58" s="38"/>
      <c r="G58" s="38"/>
      <c r="H58" s="38"/>
      <c r="I58" s="38"/>
      <c r="J58" s="30"/>
    </row>
    <row r="59" spans="1:10" ht="19.5" customHeight="1" x14ac:dyDescent="0.2">
      <c r="A59" s="31" t="s">
        <v>95</v>
      </c>
      <c r="B59" s="32">
        <v>244</v>
      </c>
      <c r="C59" s="24"/>
      <c r="D59" s="25">
        <f t="shared" si="0"/>
        <v>0</v>
      </c>
      <c r="E59" s="45">
        <f>F59+G59+H59+I59</f>
        <v>0</v>
      </c>
      <c r="F59" s="38"/>
      <c r="G59" s="38"/>
      <c r="H59" s="38"/>
      <c r="I59" s="38"/>
      <c r="J59" s="30"/>
    </row>
    <row r="60" spans="1:10" ht="29.25" customHeight="1" x14ac:dyDescent="0.2">
      <c r="A60" s="31" t="s">
        <v>96</v>
      </c>
      <c r="B60" s="32">
        <v>245</v>
      </c>
      <c r="C60" s="24"/>
      <c r="D60" s="25">
        <f t="shared" si="0"/>
        <v>0</v>
      </c>
      <c r="E60" s="45">
        <f>F60+G60+H60+I60</f>
        <v>0</v>
      </c>
      <c r="F60" s="38"/>
      <c r="G60" s="38"/>
      <c r="H60" s="38"/>
      <c r="I60" s="38"/>
      <c r="J60" s="30"/>
    </row>
    <row r="61" spans="1:10" ht="19.5" customHeight="1" x14ac:dyDescent="0.2">
      <c r="A61" s="31" t="s">
        <v>97</v>
      </c>
      <c r="B61" s="32">
        <v>246</v>
      </c>
      <c r="C61" s="24"/>
      <c r="D61" s="25">
        <f t="shared" si="0"/>
        <v>0</v>
      </c>
      <c r="E61" s="45">
        <f>SUM(F61:I61)</f>
        <v>0</v>
      </c>
      <c r="F61" s="38"/>
      <c r="G61" s="38"/>
      <c r="H61" s="38"/>
      <c r="I61" s="38"/>
      <c r="J61" s="19"/>
    </row>
    <row r="62" spans="1:10" ht="19.5" customHeight="1" x14ac:dyDescent="0.2">
      <c r="A62" s="31" t="s">
        <v>98</v>
      </c>
      <c r="B62" s="32">
        <v>247</v>
      </c>
      <c r="C62" s="24"/>
      <c r="D62" s="25">
        <f t="shared" si="0"/>
        <v>0</v>
      </c>
      <c r="E62" s="45">
        <f>SUM(F62:I62)</f>
        <v>0</v>
      </c>
      <c r="F62" s="38"/>
      <c r="G62" s="38"/>
      <c r="H62" s="38"/>
      <c r="I62" s="38"/>
      <c r="J62" s="19"/>
    </row>
    <row r="63" spans="1:10" ht="38.25" customHeight="1" x14ac:dyDescent="0.2">
      <c r="A63" s="31" t="s">
        <v>99</v>
      </c>
      <c r="B63" s="32">
        <v>248</v>
      </c>
      <c r="C63" s="24"/>
      <c r="D63" s="25">
        <f t="shared" si="0"/>
        <v>0</v>
      </c>
      <c r="E63" s="45">
        <f>F63+G63+H63+I63</f>
        <v>0</v>
      </c>
      <c r="F63" s="38"/>
      <c r="G63" s="38"/>
      <c r="H63" s="38"/>
      <c r="I63" s="38"/>
      <c r="J63" s="30"/>
    </row>
    <row r="64" spans="1:10" ht="19.5" customHeight="1" x14ac:dyDescent="0.2">
      <c r="A64" s="31" t="s">
        <v>100</v>
      </c>
      <c r="B64" s="32">
        <v>249</v>
      </c>
      <c r="C64" s="24"/>
      <c r="D64" s="25">
        <f t="shared" si="0"/>
        <v>0</v>
      </c>
      <c r="E64" s="45"/>
      <c r="F64" s="38"/>
      <c r="G64" s="38"/>
      <c r="H64" s="38"/>
      <c r="I64" s="38"/>
      <c r="J64" s="19"/>
    </row>
    <row r="65" spans="1:10" ht="20.25" customHeight="1" x14ac:dyDescent="0.2">
      <c r="A65" s="23" t="s">
        <v>101</v>
      </c>
      <c r="B65" s="10">
        <v>250</v>
      </c>
      <c r="C65" s="24"/>
      <c r="D65" s="25">
        <f t="shared" si="0"/>
        <v>0</v>
      </c>
      <c r="E65" s="53">
        <f>F65+G65+H65+I65</f>
        <v>0</v>
      </c>
      <c r="F65" s="50"/>
      <c r="G65" s="50"/>
      <c r="H65" s="50"/>
      <c r="I65" s="50"/>
      <c r="J65" s="19"/>
    </row>
    <row r="66" spans="1:10" ht="19.5" customHeight="1" x14ac:dyDescent="0.2">
      <c r="A66" s="23" t="s">
        <v>102</v>
      </c>
      <c r="B66" s="10">
        <v>260</v>
      </c>
      <c r="C66" s="24"/>
      <c r="D66" s="25">
        <f t="shared" si="0"/>
        <v>0</v>
      </c>
      <c r="E66" s="45"/>
      <c r="F66" s="38"/>
      <c r="G66" s="38"/>
      <c r="H66" s="38"/>
      <c r="I66" s="38"/>
      <c r="J66" s="19"/>
    </row>
    <row r="67" spans="1:10" ht="37.5" customHeight="1" x14ac:dyDescent="0.2">
      <c r="A67" s="23" t="s">
        <v>103</v>
      </c>
      <c r="B67" s="10">
        <v>270</v>
      </c>
      <c r="C67" s="24"/>
      <c r="D67" s="25" t="str">
        <f t="shared" si="0"/>
        <v>-</v>
      </c>
      <c r="E67" s="54" t="s">
        <v>104</v>
      </c>
      <c r="F67" s="38"/>
      <c r="G67" s="55"/>
      <c r="H67" s="55"/>
      <c r="I67" s="55"/>
      <c r="J67" s="56"/>
    </row>
    <row r="68" spans="1:10" ht="43.5" customHeight="1" x14ac:dyDescent="0.2">
      <c r="A68" s="23" t="s">
        <v>105</v>
      </c>
      <c r="B68" s="10">
        <v>280</v>
      </c>
      <c r="C68" s="24"/>
      <c r="D68" s="25">
        <f t="shared" si="0"/>
        <v>0</v>
      </c>
      <c r="E68" s="45">
        <f>F68+G68+H68+I68</f>
        <v>0</v>
      </c>
      <c r="F68" s="38"/>
      <c r="G68" s="38"/>
      <c r="H68" s="38"/>
      <c r="I68" s="38"/>
      <c r="J68" s="30"/>
    </row>
    <row r="69" spans="1:10" ht="19.5" customHeight="1" x14ac:dyDescent="0.2">
      <c r="A69" s="23" t="s">
        <v>106</v>
      </c>
      <c r="B69" s="10">
        <v>290</v>
      </c>
      <c r="C69" s="57"/>
      <c r="D69" s="25">
        <f t="shared" si="0"/>
        <v>0</v>
      </c>
      <c r="E69" s="26">
        <f>SUM(F69:I69)</f>
        <v>0</v>
      </c>
      <c r="F69" s="19"/>
      <c r="G69" s="19"/>
      <c r="H69" s="19"/>
      <c r="I69" s="19"/>
      <c r="J69" s="19"/>
    </row>
    <row r="70" spans="1:10" ht="19.5" customHeight="1" x14ac:dyDescent="0.2">
      <c r="A70" s="31" t="s">
        <v>107</v>
      </c>
      <c r="B70" s="32">
        <v>291</v>
      </c>
      <c r="C70" s="57"/>
      <c r="D70" s="25">
        <f t="shared" si="0"/>
        <v>0</v>
      </c>
      <c r="E70" s="33">
        <f>SUM(F70:I70)</f>
        <v>0</v>
      </c>
      <c r="F70" s="29"/>
      <c r="G70" s="29"/>
      <c r="H70" s="29"/>
      <c r="I70" s="29"/>
      <c r="J70" s="19"/>
    </row>
    <row r="71" spans="1:10" ht="19.5" customHeight="1" x14ac:dyDescent="0.2">
      <c r="A71" s="31" t="s">
        <v>108</v>
      </c>
      <c r="B71" s="32">
        <v>292</v>
      </c>
      <c r="C71" s="57"/>
      <c r="D71" s="25">
        <f t="shared" si="0"/>
        <v>0</v>
      </c>
      <c r="E71" s="33">
        <f>SUM(F71:I71)</f>
        <v>0</v>
      </c>
      <c r="F71" s="57"/>
      <c r="G71" s="57"/>
      <c r="H71" s="29"/>
      <c r="I71" s="29"/>
      <c r="J71" s="19"/>
    </row>
    <row r="72" spans="1:10" ht="34.5" customHeight="1" x14ac:dyDescent="0.2">
      <c r="A72" s="23" t="s">
        <v>109</v>
      </c>
      <c r="B72" s="10">
        <v>300</v>
      </c>
      <c r="C72" s="57"/>
      <c r="D72" s="57"/>
      <c r="E72" s="26">
        <f>F72+G72+H72+I72</f>
        <v>0</v>
      </c>
      <c r="F72" s="58"/>
      <c r="G72" s="58"/>
      <c r="H72" s="58"/>
      <c r="I72" s="58"/>
      <c r="J72" s="29">
        <v>0</v>
      </c>
    </row>
    <row r="73" spans="1:10" ht="19.5" customHeight="1" x14ac:dyDescent="0.2">
      <c r="A73" s="80" t="s">
        <v>110</v>
      </c>
      <c r="B73" s="80"/>
      <c r="C73" s="80"/>
      <c r="D73" s="80"/>
      <c r="E73" s="80"/>
      <c r="F73" s="80"/>
      <c r="G73" s="80"/>
      <c r="H73" s="80"/>
      <c r="I73" s="80"/>
      <c r="J73" s="19"/>
    </row>
    <row r="74" spans="1:10" ht="19.5" customHeight="1" x14ac:dyDescent="0.2">
      <c r="A74" s="23" t="s">
        <v>111</v>
      </c>
      <c r="B74" s="10">
        <v>400</v>
      </c>
      <c r="C74" s="24">
        <v>32388.6</v>
      </c>
      <c r="D74" s="29">
        <f t="shared" ref="D74:D80" si="2">E74</f>
        <v>34432.799999999996</v>
      </c>
      <c r="E74" s="33">
        <f t="shared" ref="E74:E80" si="3">SUM(F74:I74)</f>
        <v>34432.799999999996</v>
      </c>
      <c r="F74" s="29">
        <f>F35+F39</f>
        <v>10714.5</v>
      </c>
      <c r="G74" s="29">
        <f>G35+G39</f>
        <v>8340.1</v>
      </c>
      <c r="H74" s="29">
        <f>H35+H39</f>
        <v>8977.6</v>
      </c>
      <c r="I74" s="29">
        <f>I35+I39</f>
        <v>6400.6</v>
      </c>
      <c r="J74" s="19"/>
    </row>
    <row r="75" spans="1:10" ht="19.5" customHeight="1" x14ac:dyDescent="0.2">
      <c r="A75" s="23" t="s">
        <v>79</v>
      </c>
      <c r="B75" s="10">
        <v>410</v>
      </c>
      <c r="C75" s="24">
        <v>109242.9</v>
      </c>
      <c r="D75" s="29">
        <f t="shared" si="2"/>
        <v>112645.22</v>
      </c>
      <c r="E75" s="33">
        <f t="shared" si="3"/>
        <v>112645.22</v>
      </c>
      <c r="F75" s="29">
        <f t="shared" ref="F75:I76" si="4">F45+F61</f>
        <v>28180.62</v>
      </c>
      <c r="G75" s="29">
        <f t="shared" si="4"/>
        <v>27008.2</v>
      </c>
      <c r="H75" s="29">
        <f t="shared" si="4"/>
        <v>27808.2</v>
      </c>
      <c r="I75" s="29">
        <f t="shared" si="4"/>
        <v>29648.2</v>
      </c>
      <c r="J75" s="19"/>
    </row>
    <row r="76" spans="1:10" ht="19.5" customHeight="1" x14ac:dyDescent="0.2">
      <c r="A76" s="23" t="s">
        <v>80</v>
      </c>
      <c r="B76" s="10">
        <v>420</v>
      </c>
      <c r="C76" s="24">
        <v>23306.2</v>
      </c>
      <c r="D76" s="29">
        <f t="shared" si="2"/>
        <v>24394.019999999997</v>
      </c>
      <c r="E76" s="33">
        <f t="shared" si="3"/>
        <v>24394.019999999997</v>
      </c>
      <c r="F76" s="29">
        <f t="shared" si="4"/>
        <v>6033.73</v>
      </c>
      <c r="G76" s="29">
        <f t="shared" si="4"/>
        <v>5817.79</v>
      </c>
      <c r="H76" s="29">
        <f t="shared" si="4"/>
        <v>5993.9</v>
      </c>
      <c r="I76" s="29">
        <f t="shared" si="4"/>
        <v>6548.6</v>
      </c>
      <c r="J76" s="19"/>
    </row>
    <row r="77" spans="1:10" ht="19.5" customHeight="1" x14ac:dyDescent="0.2">
      <c r="A77" s="23" t="s">
        <v>81</v>
      </c>
      <c r="B77" s="10">
        <v>430</v>
      </c>
      <c r="C77" s="24"/>
      <c r="D77" s="29">
        <f t="shared" si="2"/>
        <v>0</v>
      </c>
      <c r="E77" s="33">
        <f t="shared" si="3"/>
        <v>0</v>
      </c>
      <c r="F77" s="29">
        <f>F47</f>
        <v>0</v>
      </c>
      <c r="G77" s="29">
        <f>G47</f>
        <v>0</v>
      </c>
      <c r="H77" s="29">
        <f>H47</f>
        <v>0</v>
      </c>
      <c r="I77" s="29">
        <f>I47</f>
        <v>0</v>
      </c>
      <c r="J77" s="19"/>
    </row>
    <row r="78" spans="1:10" ht="19.5" customHeight="1" x14ac:dyDescent="0.2">
      <c r="A78" s="23" t="s">
        <v>84</v>
      </c>
      <c r="B78" s="10">
        <v>440</v>
      </c>
      <c r="C78" s="24"/>
      <c r="D78" s="29">
        <f t="shared" si="2"/>
        <v>0</v>
      </c>
      <c r="E78" s="33">
        <f t="shared" si="3"/>
        <v>0</v>
      </c>
      <c r="F78" s="59">
        <f>F65+F49</f>
        <v>0</v>
      </c>
      <c r="G78" s="59">
        <f>G65+G49</f>
        <v>0</v>
      </c>
      <c r="H78" s="59">
        <f>H65+H49</f>
        <v>0</v>
      </c>
      <c r="I78" s="59">
        <f>I65+I49</f>
        <v>0</v>
      </c>
      <c r="J78" s="19"/>
    </row>
    <row r="79" spans="1:10" ht="19.5" customHeight="1" x14ac:dyDescent="0.2">
      <c r="A79" s="23" t="s">
        <v>112</v>
      </c>
      <c r="B79" s="10">
        <v>450</v>
      </c>
      <c r="C79" s="24">
        <v>4194.5</v>
      </c>
      <c r="D79" s="29">
        <f t="shared" si="2"/>
        <v>3938.7999999999997</v>
      </c>
      <c r="E79" s="33">
        <f t="shared" si="3"/>
        <v>3938.7999999999997</v>
      </c>
      <c r="F79" s="29">
        <f>F39+F48+F50+F55+F72-F61-F62-F65-F39</f>
        <v>1060.9999999999995</v>
      </c>
      <c r="G79" s="29">
        <f>G39+G48+G50+G55+G72-G61-G62-G65-G39</f>
        <v>1045</v>
      </c>
      <c r="H79" s="29">
        <f>H39+H48+H50+H55+H72-H61-H62-H65-H39</f>
        <v>1186.4000000000001</v>
      </c>
      <c r="I79" s="29">
        <f>I39+I48+I50+I55+I72-I61-I62-I65-I39</f>
        <v>646.40000000000009</v>
      </c>
      <c r="J79" s="19"/>
    </row>
    <row r="80" spans="1:10" ht="19.5" customHeight="1" x14ac:dyDescent="0.2">
      <c r="A80" s="23" t="s">
        <v>113</v>
      </c>
      <c r="B80" s="10">
        <v>460</v>
      </c>
      <c r="C80" s="24">
        <v>169132.2</v>
      </c>
      <c r="D80" s="29">
        <f t="shared" si="2"/>
        <v>175410.84000000003</v>
      </c>
      <c r="E80" s="26">
        <f t="shared" si="3"/>
        <v>175410.84000000003</v>
      </c>
      <c r="F80" s="29">
        <f>SUM(F74:F79)</f>
        <v>45989.849999999991</v>
      </c>
      <c r="G80" s="29">
        <f>SUM(G74:G79)</f>
        <v>42211.090000000004</v>
      </c>
      <c r="H80" s="29">
        <f>SUM(H74:H79)</f>
        <v>43966.100000000006</v>
      </c>
      <c r="I80" s="29">
        <f>SUM(I74:I79)</f>
        <v>43243.8</v>
      </c>
      <c r="J80" s="19"/>
    </row>
    <row r="81" spans="1:10" ht="19.5" customHeight="1" x14ac:dyDescent="0.2">
      <c r="A81" s="80" t="s">
        <v>114</v>
      </c>
      <c r="B81" s="80"/>
      <c r="C81" s="80"/>
      <c r="D81" s="80"/>
      <c r="E81" s="80"/>
      <c r="F81" s="80"/>
      <c r="G81" s="80"/>
      <c r="H81" s="80"/>
      <c r="I81" s="80"/>
      <c r="J81" s="19"/>
    </row>
    <row r="82" spans="1:10" ht="19.5" customHeight="1" x14ac:dyDescent="0.2">
      <c r="A82" s="23" t="s">
        <v>115</v>
      </c>
      <c r="B82" s="10">
        <v>500</v>
      </c>
      <c r="C82" s="57"/>
      <c r="D82" s="57"/>
      <c r="E82" s="26">
        <f t="shared" ref="E82:E90" si="5">SUM(F82:I82)</f>
        <v>0</v>
      </c>
      <c r="F82" s="19"/>
      <c r="G82" s="19"/>
      <c r="H82" s="19"/>
      <c r="I82" s="19"/>
      <c r="J82" s="19"/>
    </row>
    <row r="83" spans="1:10" ht="39" customHeight="1" x14ac:dyDescent="0.2">
      <c r="A83" s="23" t="s">
        <v>116</v>
      </c>
      <c r="B83" s="32">
        <v>501</v>
      </c>
      <c r="C83" s="57"/>
      <c r="D83" s="57"/>
      <c r="E83" s="33">
        <f t="shared" si="5"/>
        <v>0</v>
      </c>
      <c r="F83" s="57"/>
      <c r="G83" s="57"/>
      <c r="H83" s="29"/>
      <c r="I83" s="29"/>
      <c r="J83" s="19"/>
    </row>
    <row r="84" spans="1:10" ht="34.5" customHeight="1" x14ac:dyDescent="0.2">
      <c r="A84" s="21" t="s">
        <v>117</v>
      </c>
      <c r="B84" s="15">
        <v>510</v>
      </c>
      <c r="C84" s="27">
        <v>2263.5</v>
      </c>
      <c r="D84" s="25">
        <f>E84</f>
        <v>1620.4</v>
      </c>
      <c r="E84" s="26">
        <f t="shared" si="5"/>
        <v>1620.4</v>
      </c>
      <c r="F84" s="26">
        <f>SUM(F85:F90)</f>
        <v>345.4</v>
      </c>
      <c r="G84" s="26">
        <f>SUM(G85:G90)</f>
        <v>325</v>
      </c>
      <c r="H84" s="26">
        <f>SUM(H85:H90)</f>
        <v>475</v>
      </c>
      <c r="I84" s="26">
        <f>SUM(I85:I90)</f>
        <v>475.00000000000006</v>
      </c>
      <c r="J84" s="19"/>
    </row>
    <row r="85" spans="1:10" ht="19.5" customHeight="1" x14ac:dyDescent="0.2">
      <c r="A85" s="23" t="s">
        <v>118</v>
      </c>
      <c r="B85" s="40">
        <v>511</v>
      </c>
      <c r="C85" s="24"/>
      <c r="D85" s="57"/>
      <c r="E85" s="33">
        <f t="shared" si="5"/>
        <v>101.9</v>
      </c>
      <c r="F85" s="29"/>
      <c r="G85" s="29"/>
      <c r="H85" s="29"/>
      <c r="I85" s="41">
        <v>101.9</v>
      </c>
      <c r="J85" s="19"/>
    </row>
    <row r="86" spans="1:10" ht="56.25" customHeight="1" x14ac:dyDescent="0.2">
      <c r="A86" s="23" t="s">
        <v>119</v>
      </c>
      <c r="B86" s="40">
        <v>512</v>
      </c>
      <c r="C86" s="24">
        <v>2176.6</v>
      </c>
      <c r="D86" s="25">
        <f>E86</f>
        <v>1397.8</v>
      </c>
      <c r="E86" s="33">
        <f t="shared" si="5"/>
        <v>1397.8</v>
      </c>
      <c r="F86" s="29">
        <v>325</v>
      </c>
      <c r="G86" s="29">
        <v>325</v>
      </c>
      <c r="H86" s="29">
        <f>325+150</f>
        <v>475</v>
      </c>
      <c r="I86" s="41">
        <f>325+150-101.9-100.3</f>
        <v>272.8</v>
      </c>
      <c r="J86" s="30" t="s">
        <v>120</v>
      </c>
    </row>
    <row r="87" spans="1:10" ht="48" customHeight="1" x14ac:dyDescent="0.2">
      <c r="A87" s="23" t="s">
        <v>121</v>
      </c>
      <c r="B87" s="40">
        <v>513</v>
      </c>
      <c r="C87" s="24"/>
      <c r="D87" s="29"/>
      <c r="E87" s="33">
        <f t="shared" si="5"/>
        <v>0</v>
      </c>
      <c r="F87" s="29"/>
      <c r="G87" s="29"/>
      <c r="H87" s="29"/>
      <c r="I87" s="29"/>
      <c r="J87" s="56"/>
    </row>
    <row r="88" spans="1:10" ht="22.5" customHeight="1" x14ac:dyDescent="0.2">
      <c r="A88" s="23" t="s">
        <v>122</v>
      </c>
      <c r="B88" s="40">
        <v>514</v>
      </c>
      <c r="C88" s="24"/>
      <c r="D88" s="29"/>
      <c r="E88" s="33">
        <f t="shared" si="5"/>
        <v>0</v>
      </c>
      <c r="F88" s="29"/>
      <c r="G88" s="29"/>
      <c r="H88" s="29"/>
      <c r="I88" s="29"/>
      <c r="J88" s="30"/>
    </row>
    <row r="89" spans="1:10" ht="64.5" customHeight="1" x14ac:dyDescent="0.2">
      <c r="A89" s="23" t="s">
        <v>123</v>
      </c>
      <c r="B89" s="40">
        <v>515</v>
      </c>
      <c r="C89" s="24">
        <v>86.9</v>
      </c>
      <c r="D89" s="25">
        <f>E89</f>
        <v>120.69999999999999</v>
      </c>
      <c r="E89" s="33">
        <f t="shared" si="5"/>
        <v>120.69999999999999</v>
      </c>
      <c r="F89" s="29">
        <v>20.399999999999999</v>
      </c>
      <c r="G89" s="29">
        <v>0</v>
      </c>
      <c r="H89" s="29">
        <v>0</v>
      </c>
      <c r="I89" s="41">
        <v>100.3</v>
      </c>
      <c r="J89" s="30" t="s">
        <v>124</v>
      </c>
    </row>
    <row r="90" spans="1:10" ht="19.5" customHeight="1" x14ac:dyDescent="0.2">
      <c r="A90" s="23" t="s">
        <v>125</v>
      </c>
      <c r="B90" s="32">
        <v>516</v>
      </c>
      <c r="C90" s="57"/>
      <c r="D90" s="24">
        <v>0</v>
      </c>
      <c r="E90" s="33">
        <f t="shared" si="5"/>
        <v>0</v>
      </c>
      <c r="F90" s="29"/>
      <c r="G90" s="29">
        <v>0</v>
      </c>
      <c r="H90" s="29"/>
      <c r="I90" s="29">
        <v>0</v>
      </c>
      <c r="J90" s="19"/>
    </row>
    <row r="91" spans="1:10" ht="19.5" customHeight="1" x14ac:dyDescent="0.2">
      <c r="A91" s="80" t="s">
        <v>126</v>
      </c>
      <c r="B91" s="80"/>
      <c r="C91" s="80"/>
      <c r="D91" s="80"/>
      <c r="E91" s="80"/>
      <c r="F91" s="80"/>
      <c r="G91" s="80"/>
      <c r="H91" s="80"/>
      <c r="I91" s="80"/>
      <c r="J91" s="19"/>
    </row>
    <row r="92" spans="1:10" ht="34.5" customHeight="1" x14ac:dyDescent="0.2">
      <c r="A92" s="23" t="s">
        <v>127</v>
      </c>
      <c r="B92" s="10">
        <v>600</v>
      </c>
      <c r="C92" s="57"/>
      <c r="D92" s="57"/>
      <c r="E92" s="33"/>
      <c r="F92" s="19"/>
      <c r="G92" s="19"/>
      <c r="H92" s="19"/>
      <c r="I92" s="19"/>
      <c r="J92" s="19"/>
    </row>
    <row r="93" spans="1:10" ht="19.5" customHeight="1" x14ac:dyDescent="0.2">
      <c r="A93" s="31" t="s">
        <v>128</v>
      </c>
      <c r="B93" s="32">
        <v>601</v>
      </c>
      <c r="C93" s="57"/>
      <c r="D93" s="57"/>
      <c r="E93" s="33">
        <f>SUM(F93:I93)</f>
        <v>0</v>
      </c>
      <c r="F93" s="29"/>
      <c r="G93" s="29"/>
      <c r="H93" s="29"/>
      <c r="I93" s="29"/>
      <c r="J93" s="19"/>
    </row>
    <row r="94" spans="1:10" ht="19.5" customHeight="1" x14ac:dyDescent="0.2">
      <c r="A94" s="31" t="s">
        <v>129</v>
      </c>
      <c r="B94" s="32">
        <v>602</v>
      </c>
      <c r="C94" s="57"/>
      <c r="D94" s="57"/>
      <c r="E94" s="33">
        <f>SUM(F94:I94)</f>
        <v>0</v>
      </c>
      <c r="F94" s="29"/>
      <c r="G94" s="29"/>
      <c r="H94" s="29"/>
      <c r="I94" s="29"/>
      <c r="J94" s="19"/>
    </row>
    <row r="95" spans="1:10" ht="19.5" customHeight="1" x14ac:dyDescent="0.2">
      <c r="A95" s="31" t="s">
        <v>130</v>
      </c>
      <c r="B95" s="32">
        <v>603</v>
      </c>
      <c r="C95" s="57"/>
      <c r="D95" s="57"/>
      <c r="E95" s="33">
        <f>SUM(F95:I95)</f>
        <v>0</v>
      </c>
      <c r="F95" s="29"/>
      <c r="G95" s="29"/>
      <c r="H95" s="29"/>
      <c r="I95" s="29"/>
      <c r="J95" s="19"/>
    </row>
    <row r="96" spans="1:10" ht="19.5" customHeight="1" x14ac:dyDescent="0.2">
      <c r="A96" s="23" t="s">
        <v>131</v>
      </c>
      <c r="B96" s="10">
        <v>610</v>
      </c>
      <c r="C96" s="38">
        <v>5423.8</v>
      </c>
      <c r="D96" s="25">
        <f t="shared" ref="D96:D101" si="6">E96</f>
        <v>4485.6000000000004</v>
      </c>
      <c r="E96" s="60">
        <f>SUM(F96:I96)</f>
        <v>4485.6000000000004</v>
      </c>
      <c r="F96" s="24">
        <f>F97+F98+F101+F99+F100</f>
        <v>2645.4</v>
      </c>
      <c r="G96" s="24">
        <f>G97+G98+G101</f>
        <v>346.4</v>
      </c>
      <c r="H96" s="24">
        <f>H97+H98+H101+H99</f>
        <v>516.4</v>
      </c>
      <c r="I96" s="24">
        <f>I97+I98+I101+I99</f>
        <v>977.4</v>
      </c>
      <c r="J96" s="19"/>
    </row>
    <row r="97" spans="1:10" ht="19.5" customHeight="1" x14ac:dyDescent="0.2">
      <c r="A97" s="23" t="s">
        <v>132</v>
      </c>
      <c r="B97" s="10">
        <v>611</v>
      </c>
      <c r="C97" s="38">
        <v>1310.2</v>
      </c>
      <c r="D97" s="25">
        <f t="shared" si="6"/>
        <v>2355.9</v>
      </c>
      <c r="E97" s="60">
        <f>F97+G97+H97+I97</f>
        <v>2355.9</v>
      </c>
      <c r="F97" s="24">
        <f>343.4+185.3</f>
        <v>528.70000000000005</v>
      </c>
      <c r="G97" s="24">
        <v>343.4</v>
      </c>
      <c r="H97" s="24">
        <f>343.4+170</f>
        <v>513.4</v>
      </c>
      <c r="I97" s="39">
        <f>343.4+170+457</f>
        <v>970.4</v>
      </c>
      <c r="J97" s="19"/>
    </row>
    <row r="98" spans="1:10" ht="41.25" customHeight="1" x14ac:dyDescent="0.2">
      <c r="A98" s="23" t="s">
        <v>133</v>
      </c>
      <c r="B98" s="10">
        <v>612</v>
      </c>
      <c r="C98" s="38">
        <v>32</v>
      </c>
      <c r="D98" s="25">
        <f t="shared" si="6"/>
        <v>16</v>
      </c>
      <c r="E98" s="60">
        <f>F98+G98+H98+I98</f>
        <v>16</v>
      </c>
      <c r="F98" s="24">
        <v>3</v>
      </c>
      <c r="G98" s="24">
        <v>3</v>
      </c>
      <c r="H98" s="24">
        <v>3</v>
      </c>
      <c r="I98" s="39">
        <f>3+4</f>
        <v>7</v>
      </c>
      <c r="J98" s="19"/>
    </row>
    <row r="99" spans="1:10" ht="78" customHeight="1" x14ac:dyDescent="0.2">
      <c r="A99" s="23" t="s">
        <v>134</v>
      </c>
      <c r="B99" s="10">
        <v>613</v>
      </c>
      <c r="C99" s="38">
        <v>3427.3</v>
      </c>
      <c r="D99" s="25">
        <f t="shared" si="6"/>
        <v>1800</v>
      </c>
      <c r="E99" s="60">
        <f>F99+G99+H99+I99</f>
        <v>1800</v>
      </c>
      <c r="F99" s="24">
        <v>1800</v>
      </c>
      <c r="G99" s="24">
        <v>0</v>
      </c>
      <c r="H99" s="24">
        <v>0</v>
      </c>
      <c r="I99" s="24">
        <v>0</v>
      </c>
      <c r="J99" s="30"/>
    </row>
    <row r="100" spans="1:10" ht="35.25" customHeight="1" x14ac:dyDescent="0.2">
      <c r="A100" s="23" t="s">
        <v>135</v>
      </c>
      <c r="B100" s="10">
        <v>614</v>
      </c>
      <c r="C100" s="38"/>
      <c r="D100" s="25">
        <f t="shared" si="6"/>
        <v>401.8</v>
      </c>
      <c r="E100" s="60">
        <f>F100+G100+H100+I100</f>
        <v>401.8</v>
      </c>
      <c r="F100" s="24">
        <v>97.5</v>
      </c>
      <c r="G100" s="24"/>
      <c r="H100" s="24">
        <v>260</v>
      </c>
      <c r="I100" s="39">
        <v>44.3</v>
      </c>
      <c r="J100" s="30"/>
    </row>
    <row r="101" spans="1:10" ht="41.25" customHeight="1" x14ac:dyDescent="0.2">
      <c r="A101" s="23" t="s">
        <v>64</v>
      </c>
      <c r="B101" s="10">
        <v>620</v>
      </c>
      <c r="C101" s="38">
        <v>654.29999999999995</v>
      </c>
      <c r="D101" s="25">
        <f t="shared" si="6"/>
        <v>216.2</v>
      </c>
      <c r="E101" s="60">
        <f>F101+G101+H101+I101</f>
        <v>216.2</v>
      </c>
      <c r="F101" s="24">
        <v>216.2</v>
      </c>
      <c r="G101" s="24">
        <v>0</v>
      </c>
      <c r="H101" s="24">
        <v>0</v>
      </c>
      <c r="I101" s="24">
        <v>0</v>
      </c>
      <c r="J101" s="19"/>
    </row>
    <row r="102" spans="1:10" ht="39.75" customHeight="1" x14ac:dyDescent="0.2">
      <c r="A102" s="23" t="s">
        <v>136</v>
      </c>
      <c r="B102" s="10">
        <v>630</v>
      </c>
      <c r="C102" s="38"/>
      <c r="D102" s="61">
        <f>SUM(D103:D105)</f>
        <v>0</v>
      </c>
      <c r="E102" s="26"/>
      <c r="F102" s="19"/>
      <c r="G102" s="19"/>
      <c r="H102" s="19"/>
      <c r="I102" s="19"/>
      <c r="J102" s="19"/>
    </row>
    <row r="103" spans="1:10" ht="19.5" customHeight="1" x14ac:dyDescent="0.2">
      <c r="A103" s="31" t="s">
        <v>128</v>
      </c>
      <c r="B103" s="32">
        <v>631</v>
      </c>
      <c r="C103" s="38"/>
      <c r="D103" s="57"/>
      <c r="E103" s="33">
        <f>SUM(F103:I103)</f>
        <v>0</v>
      </c>
      <c r="F103" s="29"/>
      <c r="G103" s="29"/>
      <c r="H103" s="29"/>
      <c r="I103" s="29"/>
      <c r="J103" s="19"/>
    </row>
    <row r="104" spans="1:10" ht="19.5" customHeight="1" x14ac:dyDescent="0.2">
      <c r="A104" s="31" t="s">
        <v>129</v>
      </c>
      <c r="B104" s="32">
        <v>632</v>
      </c>
      <c r="C104" s="38"/>
      <c r="D104" s="24"/>
      <c r="E104" s="33">
        <f>SUM(F104:I104)</f>
        <v>0</v>
      </c>
      <c r="F104" s="29"/>
      <c r="G104" s="29"/>
      <c r="H104" s="29"/>
      <c r="I104" s="29"/>
      <c r="J104" s="19"/>
    </row>
    <row r="105" spans="1:10" ht="19.5" customHeight="1" x14ac:dyDescent="0.2">
      <c r="A105" s="31" t="s">
        <v>130</v>
      </c>
      <c r="B105" s="32">
        <v>633</v>
      </c>
      <c r="C105" s="38"/>
      <c r="D105" s="57"/>
      <c r="E105" s="33">
        <f>SUM(F105:I105)</f>
        <v>0</v>
      </c>
      <c r="F105" s="29"/>
      <c r="G105" s="29"/>
      <c r="H105" s="29"/>
      <c r="I105" s="29"/>
      <c r="J105" s="19"/>
    </row>
    <row r="106" spans="1:10" ht="53.25" customHeight="1" x14ac:dyDescent="0.2">
      <c r="A106" s="16" t="s">
        <v>137</v>
      </c>
      <c r="B106" s="10">
        <v>640</v>
      </c>
      <c r="C106" s="38">
        <v>5207.7</v>
      </c>
      <c r="D106" s="25">
        <f>E106</f>
        <v>4268.7000000000007</v>
      </c>
      <c r="E106" s="60">
        <f>F106+G106+H106+I106</f>
        <v>4268.7000000000007</v>
      </c>
      <c r="F106" s="24">
        <f>F110+F111+F112+F113+F114+F115+F107+F116+F117+F118</f>
        <v>2645.3</v>
      </c>
      <c r="G106" s="24">
        <f>G110+G111+G112+G113+G114+G115+G107</f>
        <v>346.4</v>
      </c>
      <c r="H106" s="24">
        <f>H110+H111+H112+H113+H114+H115+H107</f>
        <v>716.4</v>
      </c>
      <c r="I106" s="24">
        <f>I110+I111+I112+I113+I114+I115+I107</f>
        <v>560.6</v>
      </c>
      <c r="J106" s="19"/>
    </row>
    <row r="107" spans="1:10" ht="53.25" customHeight="1" x14ac:dyDescent="0.2">
      <c r="A107" s="23" t="s">
        <v>72</v>
      </c>
      <c r="B107" s="15">
        <v>641</v>
      </c>
      <c r="C107" s="45">
        <v>68.8</v>
      </c>
      <c r="D107" s="26">
        <f>E107</f>
        <v>12.199999999999996</v>
      </c>
      <c r="E107" s="26">
        <f>SUM(F107:I107)</f>
        <v>12.199999999999996</v>
      </c>
      <c r="F107" s="33">
        <f>SUM(F108:F109)</f>
        <v>12.5</v>
      </c>
      <c r="G107" s="33">
        <f>SUM(G108:G109)</f>
        <v>12.5</v>
      </c>
      <c r="H107" s="33">
        <f>SUM(H108:H109)</f>
        <v>41</v>
      </c>
      <c r="I107" s="33">
        <f>SUM(I108:I109)</f>
        <v>-53.800000000000004</v>
      </c>
      <c r="J107" s="19"/>
    </row>
    <row r="108" spans="1:10" ht="39.75" customHeight="1" x14ac:dyDescent="0.2">
      <c r="A108" s="31" t="s">
        <v>74</v>
      </c>
      <c r="B108" s="40">
        <v>643</v>
      </c>
      <c r="C108" s="38">
        <v>68.099999999999994</v>
      </c>
      <c r="D108" s="25">
        <f>E108</f>
        <v>3.2999999999999972</v>
      </c>
      <c r="E108" s="45">
        <f>F108+G108+H108+I108</f>
        <v>3.2999999999999972</v>
      </c>
      <c r="F108" s="38">
        <v>12.5</v>
      </c>
      <c r="G108" s="38">
        <v>12.5</v>
      </c>
      <c r="H108" s="38">
        <f>12.5+28.5</f>
        <v>41</v>
      </c>
      <c r="I108" s="46">
        <f>12.5-75.2</f>
        <v>-62.7</v>
      </c>
      <c r="J108" s="19"/>
    </row>
    <row r="109" spans="1:10" ht="36" customHeight="1" x14ac:dyDescent="0.2">
      <c r="A109" s="31" t="s">
        <v>76</v>
      </c>
      <c r="B109" s="40">
        <v>644</v>
      </c>
      <c r="C109" s="38">
        <v>0.7</v>
      </c>
      <c r="D109" s="29"/>
      <c r="E109" s="45"/>
      <c r="F109" s="38"/>
      <c r="G109" s="38"/>
      <c r="H109" s="38"/>
      <c r="I109" s="46">
        <v>8.9</v>
      </c>
      <c r="J109" s="62"/>
    </row>
    <row r="110" spans="1:10" ht="35.25" customHeight="1" x14ac:dyDescent="0.2">
      <c r="A110" s="23" t="s">
        <v>138</v>
      </c>
      <c r="B110" s="10">
        <v>645</v>
      </c>
      <c r="C110" s="38">
        <v>831.5</v>
      </c>
      <c r="D110" s="25">
        <f t="shared" ref="D110:D120" si="7">E110</f>
        <v>875.6</v>
      </c>
      <c r="E110" s="52">
        <f t="shared" ref="E110:E118" si="8">F110+G110+H110+I110</f>
        <v>875.6</v>
      </c>
      <c r="F110" s="24">
        <f>141.4+30</f>
        <v>171.4</v>
      </c>
      <c r="G110" s="24">
        <f>141.4</f>
        <v>141.4</v>
      </c>
      <c r="H110" s="24">
        <f>141.4+90</f>
        <v>231.4</v>
      </c>
      <c r="I110" s="39">
        <f>141.4+90+100</f>
        <v>331.4</v>
      </c>
      <c r="J110" s="19"/>
    </row>
    <row r="111" spans="1:10" ht="27" customHeight="1" x14ac:dyDescent="0.2">
      <c r="A111" s="23" t="s">
        <v>67</v>
      </c>
      <c r="B111" s="10">
        <v>646</v>
      </c>
      <c r="C111" s="38">
        <v>46.5</v>
      </c>
      <c r="D111" s="25">
        <f t="shared" si="7"/>
        <v>396.2</v>
      </c>
      <c r="E111" s="52">
        <f t="shared" si="8"/>
        <v>396.2</v>
      </c>
      <c r="F111" s="24">
        <f>176.2+100</f>
        <v>276.2</v>
      </c>
      <c r="G111" s="24">
        <v>40</v>
      </c>
      <c r="H111" s="24">
        <v>40</v>
      </c>
      <c r="I111" s="24">
        <v>40</v>
      </c>
      <c r="J111" s="19"/>
    </row>
    <row r="112" spans="1:10" ht="27" customHeight="1" x14ac:dyDescent="0.2">
      <c r="A112" s="23" t="s">
        <v>139</v>
      </c>
      <c r="B112" s="10">
        <v>647</v>
      </c>
      <c r="C112" s="38">
        <v>172.1</v>
      </c>
      <c r="D112" s="25">
        <f t="shared" si="7"/>
        <v>238.5</v>
      </c>
      <c r="E112" s="52">
        <f t="shared" si="8"/>
        <v>238.5</v>
      </c>
      <c r="F112" s="24">
        <f>62.5+25</f>
        <v>87.5</v>
      </c>
      <c r="G112" s="24">
        <v>37.5</v>
      </c>
      <c r="H112" s="24">
        <f>37.5+23.5</f>
        <v>61</v>
      </c>
      <c r="I112" s="24">
        <f>37.5+23.5-8.5</f>
        <v>52.5</v>
      </c>
      <c r="J112" s="19"/>
    </row>
    <row r="113" spans="1:10" ht="19.5" customHeight="1" x14ac:dyDescent="0.2">
      <c r="A113" s="23" t="s">
        <v>140</v>
      </c>
      <c r="B113" s="10">
        <v>648</v>
      </c>
      <c r="C113" s="38">
        <v>340.7</v>
      </c>
      <c r="D113" s="25">
        <f t="shared" si="7"/>
        <v>420.5</v>
      </c>
      <c r="E113" s="52">
        <f t="shared" si="8"/>
        <v>420.5</v>
      </c>
      <c r="F113" s="24">
        <v>85</v>
      </c>
      <c r="G113" s="24">
        <v>65</v>
      </c>
      <c r="H113" s="24">
        <f>65+65</f>
        <v>130</v>
      </c>
      <c r="I113" s="39">
        <f>65+65+10.5</f>
        <v>140.5</v>
      </c>
      <c r="J113" s="19"/>
    </row>
    <row r="114" spans="1:10" ht="19.5" customHeight="1" x14ac:dyDescent="0.2">
      <c r="A114" s="23" t="s">
        <v>141</v>
      </c>
      <c r="B114" s="10">
        <v>649</v>
      </c>
      <c r="C114" s="38">
        <v>276.3</v>
      </c>
      <c r="D114" s="25">
        <f t="shared" si="7"/>
        <v>411.3</v>
      </c>
      <c r="E114" s="52">
        <f t="shared" si="8"/>
        <v>411.3</v>
      </c>
      <c r="F114" s="24">
        <f>75+23.3</f>
        <v>98.3</v>
      </c>
      <c r="G114" s="24">
        <v>50</v>
      </c>
      <c r="H114" s="24">
        <f>50+100+63</f>
        <v>213</v>
      </c>
      <c r="I114" s="39">
        <f>50+100-100</f>
        <v>50</v>
      </c>
      <c r="J114" s="30" t="s">
        <v>120</v>
      </c>
    </row>
    <row r="115" spans="1:10" ht="19.5" customHeight="1" x14ac:dyDescent="0.2">
      <c r="A115" s="23" t="s">
        <v>142</v>
      </c>
      <c r="B115" s="10">
        <v>650</v>
      </c>
      <c r="C115" s="38">
        <v>3464.7</v>
      </c>
      <c r="D115" s="25">
        <f t="shared" si="7"/>
        <v>1817</v>
      </c>
      <c r="E115" s="52">
        <f t="shared" si="8"/>
        <v>1817</v>
      </c>
      <c r="F115" s="24">
        <f>10+1800+7</f>
        <v>1817</v>
      </c>
      <c r="G115" s="24">
        <v>0</v>
      </c>
      <c r="H115" s="24">
        <v>0</v>
      </c>
      <c r="I115" s="24">
        <v>0</v>
      </c>
      <c r="J115" s="30" t="s">
        <v>143</v>
      </c>
    </row>
    <row r="116" spans="1:10" ht="46.5" customHeight="1" x14ac:dyDescent="0.2">
      <c r="A116" s="23" t="s">
        <v>123</v>
      </c>
      <c r="B116" s="10">
        <v>651</v>
      </c>
      <c r="C116" s="38">
        <v>7</v>
      </c>
      <c r="D116" s="25">
        <f t="shared" si="7"/>
        <v>7</v>
      </c>
      <c r="E116" s="52">
        <f t="shared" si="8"/>
        <v>7</v>
      </c>
      <c r="F116" s="24"/>
      <c r="G116" s="24"/>
      <c r="H116" s="24"/>
      <c r="I116" s="39">
        <v>7</v>
      </c>
      <c r="J116" s="19"/>
    </row>
    <row r="117" spans="1:10" ht="24.75" customHeight="1" x14ac:dyDescent="0.2">
      <c r="A117" s="23" t="s">
        <v>97</v>
      </c>
      <c r="B117" s="10">
        <v>652</v>
      </c>
      <c r="C117" s="38"/>
      <c r="D117" s="25">
        <f t="shared" si="7"/>
        <v>329</v>
      </c>
      <c r="E117" s="52">
        <f t="shared" si="8"/>
        <v>329</v>
      </c>
      <c r="F117" s="24">
        <v>79.8</v>
      </c>
      <c r="G117" s="24"/>
      <c r="H117" s="24">
        <f>151.6+60.5+1.1</f>
        <v>213.2</v>
      </c>
      <c r="I117" s="39">
        <v>36</v>
      </c>
      <c r="J117" s="19" t="s">
        <v>144</v>
      </c>
    </row>
    <row r="118" spans="1:10" ht="29.25" customHeight="1" x14ac:dyDescent="0.2">
      <c r="A118" s="23" t="s">
        <v>80</v>
      </c>
      <c r="B118" s="10">
        <v>653</v>
      </c>
      <c r="C118" s="38"/>
      <c r="D118" s="25">
        <f t="shared" si="7"/>
        <v>72.7</v>
      </c>
      <c r="E118" s="52">
        <f t="shared" si="8"/>
        <v>72.7</v>
      </c>
      <c r="F118" s="24">
        <v>17.600000000000001</v>
      </c>
      <c r="G118" s="24"/>
      <c r="H118" s="24">
        <f>33.3+13.5</f>
        <v>46.8</v>
      </c>
      <c r="I118" s="39">
        <v>8.3000000000000007</v>
      </c>
      <c r="J118" s="19"/>
    </row>
    <row r="119" spans="1:10" ht="19.5" customHeight="1" x14ac:dyDescent="0.2">
      <c r="A119" s="21" t="s">
        <v>145</v>
      </c>
      <c r="B119" s="36">
        <v>700</v>
      </c>
      <c r="C119" s="48">
        <v>178051.20000000001</v>
      </c>
      <c r="D119" s="26">
        <f t="shared" si="7"/>
        <v>181300</v>
      </c>
      <c r="E119" s="63">
        <f>SUM(F119:I119)</f>
        <v>181300</v>
      </c>
      <c r="F119" s="63">
        <f>F26+F96</f>
        <v>48980.6</v>
      </c>
      <c r="G119" s="63">
        <f>G26+G96</f>
        <v>42882.5</v>
      </c>
      <c r="H119" s="63">
        <f>H26+H96</f>
        <v>45157.500000000007</v>
      </c>
      <c r="I119" s="63">
        <f>I26+I96</f>
        <v>44279.4</v>
      </c>
      <c r="J119" s="19"/>
    </row>
    <row r="120" spans="1:10" ht="19.5" customHeight="1" x14ac:dyDescent="0.2">
      <c r="A120" s="21" t="s">
        <v>146</v>
      </c>
      <c r="B120" s="36">
        <v>800</v>
      </c>
      <c r="C120" s="48">
        <v>176603.3</v>
      </c>
      <c r="D120" s="26">
        <f t="shared" si="7"/>
        <v>181299.94</v>
      </c>
      <c r="E120" s="63">
        <f>SUM(F120:I120)</f>
        <v>181299.94</v>
      </c>
      <c r="F120" s="63">
        <f>F34+F106</f>
        <v>48980.549999999996</v>
      </c>
      <c r="G120" s="63">
        <f>G34+G106</f>
        <v>42882.490000000005</v>
      </c>
      <c r="H120" s="63">
        <f>H34+H106</f>
        <v>45157.500000000007</v>
      </c>
      <c r="I120" s="63">
        <f>I34+I106</f>
        <v>44279.4</v>
      </c>
      <c r="J120" s="19"/>
    </row>
    <row r="121" spans="1:10" ht="46.5" customHeight="1" x14ac:dyDescent="0.2">
      <c r="A121" s="23" t="s">
        <v>147</v>
      </c>
      <c r="B121" s="10">
        <v>900</v>
      </c>
      <c r="C121" s="38">
        <v>1447.9</v>
      </c>
      <c r="D121" s="57">
        <f>D119-D120</f>
        <v>5.9999999997671694E-2</v>
      </c>
      <c r="E121" s="33">
        <v>0</v>
      </c>
      <c r="F121" s="64">
        <v>0</v>
      </c>
      <c r="G121" s="64">
        <f>G119-G120</f>
        <v>9.9999999947613105E-3</v>
      </c>
      <c r="H121" s="64">
        <f>H119-H120</f>
        <v>0</v>
      </c>
      <c r="I121" s="64">
        <f>I119-I120</f>
        <v>0</v>
      </c>
      <c r="J121" s="19"/>
    </row>
    <row r="122" spans="1:10" ht="19.5" customHeight="1" x14ac:dyDescent="0.2">
      <c r="A122" s="80" t="s">
        <v>148</v>
      </c>
      <c r="B122" s="80"/>
      <c r="C122" s="65"/>
      <c r="D122" s="65"/>
      <c r="E122" s="66"/>
      <c r="F122" s="67" t="s">
        <v>149</v>
      </c>
      <c r="G122" s="67" t="s">
        <v>150</v>
      </c>
      <c r="H122" s="67" t="s">
        <v>151</v>
      </c>
      <c r="I122" s="67" t="s">
        <v>152</v>
      </c>
      <c r="J122" s="19"/>
    </row>
    <row r="123" spans="1:10" ht="19.5" customHeight="1" x14ac:dyDescent="0.2">
      <c r="A123" s="23" t="s">
        <v>153</v>
      </c>
      <c r="B123" s="10">
        <v>1000</v>
      </c>
      <c r="C123" s="57"/>
      <c r="D123" s="57"/>
      <c r="E123" s="68"/>
      <c r="F123" s="69">
        <v>678.25</v>
      </c>
      <c r="G123" s="69">
        <v>668.75</v>
      </c>
      <c r="H123" s="69">
        <v>681</v>
      </c>
      <c r="I123" s="69"/>
      <c r="J123" s="19"/>
    </row>
    <row r="124" spans="1:10" ht="19.5" customHeight="1" x14ac:dyDescent="0.2">
      <c r="A124" s="23" t="s">
        <v>154</v>
      </c>
      <c r="B124" s="10">
        <v>1010</v>
      </c>
      <c r="C124" s="57"/>
      <c r="D124" s="57"/>
      <c r="E124" s="68"/>
      <c r="F124" s="29">
        <v>0</v>
      </c>
      <c r="G124" s="29">
        <v>0</v>
      </c>
      <c r="H124" s="29">
        <v>0</v>
      </c>
      <c r="I124" s="29">
        <v>0</v>
      </c>
      <c r="J124" s="19"/>
    </row>
    <row r="125" spans="1:10" ht="19.5" customHeight="1" x14ac:dyDescent="0.2">
      <c r="A125" s="23" t="s">
        <v>155</v>
      </c>
      <c r="B125" s="10">
        <v>1020</v>
      </c>
      <c r="C125" s="57"/>
      <c r="D125" s="57"/>
      <c r="E125" s="68"/>
      <c r="F125" s="57">
        <f>-G125-F1144</f>
        <v>0</v>
      </c>
      <c r="G125" s="57">
        <f>-H125-G1144</f>
        <v>0</v>
      </c>
      <c r="H125" s="57">
        <f>-I125-H1144</f>
        <v>0</v>
      </c>
      <c r="I125" s="57">
        <v>0</v>
      </c>
      <c r="J125" s="19"/>
    </row>
    <row r="126" spans="1:10" ht="42" customHeight="1" x14ac:dyDescent="0.2">
      <c r="A126" s="23" t="s">
        <v>156</v>
      </c>
      <c r="B126" s="10">
        <v>1030</v>
      </c>
      <c r="C126" s="57"/>
      <c r="D126" s="57"/>
      <c r="E126" s="68"/>
      <c r="F126" s="57">
        <f>-H1126</f>
        <v>0</v>
      </c>
      <c r="G126" s="57">
        <f>-I1126</f>
        <v>0</v>
      </c>
      <c r="H126" s="57">
        <f>-J1126</f>
        <v>0</v>
      </c>
      <c r="I126" s="57">
        <v>0</v>
      </c>
      <c r="J126" s="19"/>
    </row>
    <row r="127" spans="1:10" ht="19.5" customHeight="1" x14ac:dyDescent="0.2">
      <c r="A127" s="70"/>
      <c r="C127" s="71"/>
      <c r="D127" s="71"/>
      <c r="E127" s="71"/>
      <c r="F127" s="71"/>
      <c r="G127" s="71"/>
      <c r="H127" s="71"/>
      <c r="I127" s="71"/>
    </row>
    <row r="128" spans="1:10" ht="2.25" customHeight="1" x14ac:dyDescent="0.2">
      <c r="A128" s="70"/>
      <c r="C128" s="72"/>
      <c r="D128" s="73"/>
      <c r="E128" s="73"/>
      <c r="F128" s="73"/>
      <c r="G128" s="73"/>
      <c r="H128" s="73"/>
      <c r="I128" s="73"/>
    </row>
    <row r="129" spans="1:9" ht="30.75" customHeight="1" x14ac:dyDescent="0.2">
      <c r="A129" s="74" t="s">
        <v>157</v>
      </c>
      <c r="C129" s="81" t="s">
        <v>158</v>
      </c>
      <c r="D129" s="81"/>
      <c r="E129" s="81"/>
      <c r="F129" s="75"/>
      <c r="G129" s="82" t="s">
        <v>159</v>
      </c>
      <c r="H129" s="82"/>
      <c r="I129" s="82"/>
    </row>
    <row r="130" spans="1:9" ht="19.5" customHeight="1" x14ac:dyDescent="0.2">
      <c r="A130" s="76" t="s">
        <v>160</v>
      </c>
      <c r="B130" s="1"/>
      <c r="C130" s="78" t="s">
        <v>161</v>
      </c>
      <c r="D130" s="78"/>
      <c r="E130" s="78"/>
      <c r="F130" s="76"/>
      <c r="G130" s="79" t="s">
        <v>162</v>
      </c>
      <c r="H130" s="79"/>
      <c r="I130" s="79"/>
    </row>
    <row r="131" spans="1:9" x14ac:dyDescent="0.2">
      <c r="A131" s="77"/>
    </row>
    <row r="132" spans="1:9" x14ac:dyDescent="0.2">
      <c r="A132" s="77"/>
    </row>
    <row r="133" spans="1:9" x14ac:dyDescent="0.2">
      <c r="A133" s="77"/>
    </row>
    <row r="134" spans="1:9" x14ac:dyDescent="0.2">
      <c r="A134" s="77"/>
    </row>
    <row r="135" spans="1:9" x14ac:dyDescent="0.2">
      <c r="A135" s="77"/>
    </row>
    <row r="136" spans="1:9" x14ac:dyDescent="0.2">
      <c r="A136" s="77"/>
    </row>
    <row r="137" spans="1:9" x14ac:dyDescent="0.2">
      <c r="A137" s="77"/>
    </row>
    <row r="138" spans="1:9" x14ac:dyDescent="0.2">
      <c r="A138" s="77"/>
    </row>
    <row r="139" spans="1:9" x14ac:dyDescent="0.2">
      <c r="A139" s="77"/>
    </row>
    <row r="140" spans="1:9" x14ac:dyDescent="0.2">
      <c r="A140" s="77"/>
    </row>
    <row r="141" spans="1:9" x14ac:dyDescent="0.2">
      <c r="A141" s="77"/>
    </row>
    <row r="142" spans="1:9" x14ac:dyDescent="0.2">
      <c r="A142" s="77"/>
    </row>
    <row r="143" spans="1:9" x14ac:dyDescent="0.2">
      <c r="A143" s="77"/>
    </row>
    <row r="144" spans="1:9" x14ac:dyDescent="0.2">
      <c r="A144" s="77"/>
    </row>
    <row r="145" spans="1:1" x14ac:dyDescent="0.2">
      <c r="A145" s="77"/>
    </row>
    <row r="146" spans="1:1" x14ac:dyDescent="0.2">
      <c r="A146" s="77"/>
    </row>
    <row r="147" spans="1:1" x14ac:dyDescent="0.2">
      <c r="A147" s="77"/>
    </row>
    <row r="148" spans="1:1" x14ac:dyDescent="0.2">
      <c r="A148" s="77"/>
    </row>
    <row r="149" spans="1:1" x14ac:dyDescent="0.2">
      <c r="A149" s="77"/>
    </row>
    <row r="150" spans="1:1" x14ac:dyDescent="0.2">
      <c r="A150" s="77"/>
    </row>
    <row r="151" spans="1:1" x14ac:dyDescent="0.2">
      <c r="A151" s="77"/>
    </row>
    <row r="152" spans="1:1" x14ac:dyDescent="0.2">
      <c r="A152" s="77"/>
    </row>
    <row r="153" spans="1:1" x14ac:dyDescent="0.2">
      <c r="A153" s="77"/>
    </row>
    <row r="154" spans="1:1" x14ac:dyDescent="0.2">
      <c r="A154" s="77"/>
    </row>
    <row r="155" spans="1:1" x14ac:dyDescent="0.2">
      <c r="A155" s="77"/>
    </row>
    <row r="156" spans="1:1" x14ac:dyDescent="0.2">
      <c r="A156" s="77"/>
    </row>
    <row r="157" spans="1:1" x14ac:dyDescent="0.2">
      <c r="A157" s="77"/>
    </row>
    <row r="158" spans="1:1" x14ac:dyDescent="0.2">
      <c r="A158" s="77"/>
    </row>
    <row r="159" spans="1:1" x14ac:dyDescent="0.2">
      <c r="A159" s="77"/>
    </row>
    <row r="160" spans="1:1" x14ac:dyDescent="0.2">
      <c r="A160" s="77"/>
    </row>
    <row r="161" spans="1:1" x14ac:dyDescent="0.2">
      <c r="A161" s="77"/>
    </row>
    <row r="162" spans="1:1" x14ac:dyDescent="0.2">
      <c r="A162" s="77"/>
    </row>
    <row r="163" spans="1:1" x14ac:dyDescent="0.2">
      <c r="A163" s="77"/>
    </row>
    <row r="164" spans="1:1" x14ac:dyDescent="0.2">
      <c r="A164" s="77"/>
    </row>
    <row r="165" spans="1:1" x14ac:dyDescent="0.2">
      <c r="A165" s="77"/>
    </row>
    <row r="166" spans="1:1" x14ac:dyDescent="0.2">
      <c r="A166" s="77"/>
    </row>
    <row r="167" spans="1:1" x14ac:dyDescent="0.2">
      <c r="A167" s="77"/>
    </row>
    <row r="168" spans="1:1" x14ac:dyDescent="0.2">
      <c r="A168" s="77"/>
    </row>
    <row r="169" spans="1:1" x14ac:dyDescent="0.2">
      <c r="A169" s="77"/>
    </row>
    <row r="170" spans="1:1" x14ac:dyDescent="0.2">
      <c r="A170" s="77"/>
    </row>
    <row r="171" spans="1:1" x14ac:dyDescent="0.2">
      <c r="A171" s="77"/>
    </row>
    <row r="172" spans="1:1" x14ac:dyDescent="0.2">
      <c r="A172" s="77"/>
    </row>
    <row r="173" spans="1:1" x14ac:dyDescent="0.2">
      <c r="A173" s="77"/>
    </row>
    <row r="174" spans="1:1" x14ac:dyDescent="0.2">
      <c r="A174" s="77"/>
    </row>
    <row r="175" spans="1:1" x14ac:dyDescent="0.2">
      <c r="A175" s="77"/>
    </row>
    <row r="176" spans="1:1" x14ac:dyDescent="0.2">
      <c r="A176" s="77"/>
    </row>
    <row r="177" spans="1:1" x14ac:dyDescent="0.2">
      <c r="A177" s="77"/>
    </row>
    <row r="178" spans="1:1" x14ac:dyDescent="0.2">
      <c r="A178" s="77"/>
    </row>
    <row r="179" spans="1:1" x14ac:dyDescent="0.2">
      <c r="A179" s="77"/>
    </row>
    <row r="180" spans="1:1" x14ac:dyDescent="0.2">
      <c r="A180" s="77"/>
    </row>
    <row r="181" spans="1:1" x14ac:dyDescent="0.2">
      <c r="A181" s="77"/>
    </row>
    <row r="182" spans="1:1" x14ac:dyDescent="0.2">
      <c r="A182" s="77"/>
    </row>
    <row r="183" spans="1:1" x14ac:dyDescent="0.2">
      <c r="A183" s="77"/>
    </row>
    <row r="184" spans="1:1" x14ac:dyDescent="0.2">
      <c r="A184" s="77"/>
    </row>
    <row r="185" spans="1:1" x14ac:dyDescent="0.2">
      <c r="A185" s="77"/>
    </row>
    <row r="186" spans="1:1" x14ac:dyDescent="0.2">
      <c r="A186" s="77"/>
    </row>
    <row r="187" spans="1:1" x14ac:dyDescent="0.2">
      <c r="A187" s="77"/>
    </row>
    <row r="188" spans="1:1" x14ac:dyDescent="0.2">
      <c r="A188" s="77"/>
    </row>
    <row r="189" spans="1:1" x14ac:dyDescent="0.2">
      <c r="A189" s="77"/>
    </row>
    <row r="190" spans="1:1" x14ac:dyDescent="0.2">
      <c r="A190" s="77"/>
    </row>
    <row r="191" spans="1:1" x14ac:dyDescent="0.2">
      <c r="A191" s="77"/>
    </row>
    <row r="192" spans="1:1" x14ac:dyDescent="0.2">
      <c r="A192" s="77"/>
    </row>
    <row r="193" spans="1:1" x14ac:dyDescent="0.2">
      <c r="A193" s="77"/>
    </row>
    <row r="194" spans="1:1" x14ac:dyDescent="0.2">
      <c r="A194" s="77"/>
    </row>
    <row r="195" spans="1:1" x14ac:dyDescent="0.2">
      <c r="A195" s="77"/>
    </row>
    <row r="196" spans="1:1" x14ac:dyDescent="0.2">
      <c r="A196" s="77"/>
    </row>
    <row r="197" spans="1:1" x14ac:dyDescent="0.2">
      <c r="A197" s="77"/>
    </row>
    <row r="198" spans="1:1" x14ac:dyDescent="0.2">
      <c r="A198" s="77"/>
    </row>
    <row r="199" spans="1:1" x14ac:dyDescent="0.2">
      <c r="A199" s="77"/>
    </row>
    <row r="200" spans="1:1" x14ac:dyDescent="0.2">
      <c r="A200" s="77"/>
    </row>
    <row r="201" spans="1:1" x14ac:dyDescent="0.2">
      <c r="A201" s="77"/>
    </row>
    <row r="202" spans="1:1" x14ac:dyDescent="0.2">
      <c r="A202" s="77"/>
    </row>
    <row r="203" spans="1:1" x14ac:dyDescent="0.2">
      <c r="A203" s="77"/>
    </row>
    <row r="204" spans="1:1" x14ac:dyDescent="0.2">
      <c r="A204" s="77"/>
    </row>
    <row r="205" spans="1:1" x14ac:dyDescent="0.2">
      <c r="A205" s="77"/>
    </row>
    <row r="206" spans="1:1" x14ac:dyDescent="0.2">
      <c r="A206" s="77"/>
    </row>
    <row r="207" spans="1:1" x14ac:dyDescent="0.2">
      <c r="A207" s="77"/>
    </row>
    <row r="208" spans="1:1" x14ac:dyDescent="0.2">
      <c r="A208" s="77"/>
    </row>
    <row r="209" spans="1:1" x14ac:dyDescent="0.2">
      <c r="A209" s="77"/>
    </row>
    <row r="210" spans="1:1" x14ac:dyDescent="0.2">
      <c r="A210" s="77"/>
    </row>
    <row r="211" spans="1:1" x14ac:dyDescent="0.2">
      <c r="A211" s="77"/>
    </row>
    <row r="212" spans="1:1" x14ac:dyDescent="0.2">
      <c r="A212" s="77"/>
    </row>
    <row r="213" spans="1:1" x14ac:dyDescent="0.2">
      <c r="A213" s="77"/>
    </row>
    <row r="214" spans="1:1" x14ac:dyDescent="0.2">
      <c r="A214" s="77"/>
    </row>
    <row r="215" spans="1:1" x14ac:dyDescent="0.2">
      <c r="A215" s="77"/>
    </row>
    <row r="216" spans="1:1" x14ac:dyDescent="0.2">
      <c r="A216" s="77"/>
    </row>
  </sheetData>
  <mergeCells count="34">
    <mergeCell ref="H1:I1"/>
    <mergeCell ref="A6:I6"/>
    <mergeCell ref="A7:I7"/>
    <mergeCell ref="B8:F8"/>
    <mergeCell ref="B9:E9"/>
    <mergeCell ref="B10:E10"/>
    <mergeCell ref="B11:F11"/>
    <mergeCell ref="B12:E12"/>
    <mergeCell ref="B13:E13"/>
    <mergeCell ref="B14:E14"/>
    <mergeCell ref="F14:H14"/>
    <mergeCell ref="B15:E15"/>
    <mergeCell ref="F15:H15"/>
    <mergeCell ref="B16:E16"/>
    <mergeCell ref="B17:F17"/>
    <mergeCell ref="B18:E18"/>
    <mergeCell ref="B19:E19"/>
    <mergeCell ref="A21:A22"/>
    <mergeCell ref="B21:B22"/>
    <mergeCell ref="C21:C22"/>
    <mergeCell ref="D21:D22"/>
    <mergeCell ref="E21:E22"/>
    <mergeCell ref="F21:I21"/>
    <mergeCell ref="J21:J22"/>
    <mergeCell ref="A24:I24"/>
    <mergeCell ref="A25:J25"/>
    <mergeCell ref="A73:I73"/>
    <mergeCell ref="C130:E130"/>
    <mergeCell ref="G130:I130"/>
    <mergeCell ref="A81:I81"/>
    <mergeCell ref="A91:I91"/>
    <mergeCell ref="A122:B122"/>
    <mergeCell ref="C129:E129"/>
    <mergeCell ref="G129:I129"/>
  </mergeCells>
  <pageMargins left="0.78740157480314965" right="0" top="0.31496062992125984" bottom="0.27559055118110237" header="0.51181102362204722" footer="0.51181102362204722"/>
  <pageSetup paperSize="9" scale="57" orientation="landscape" horizontalDpi="300" verticalDpi="300" r:id="rId1"/>
  <rowBreaks count="5" manualBreakCount="5">
    <brk id="25" max="9" man="1"/>
    <brk id="47" max="9" man="1"/>
    <brk id="67" max="9" man="1"/>
    <brk id="97" max="9" man="1"/>
    <brk id="1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7D5FD-35CC-4339-97C6-871ECB042EC6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A95D6-26C0-4082-9573-3AACD5B72078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I. Фін план (новий 11.11.19</vt:lpstr>
      <vt:lpstr>Лист1</vt:lpstr>
      <vt:lpstr>Лист2</vt:lpstr>
      <vt:lpstr>'I. Фін план (новий 11.11.19'!Область_печати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 L</cp:lastModifiedBy>
  <cp:revision>19</cp:revision>
  <cp:lastPrinted>2025-10-23T06:08:26Z</cp:lastPrinted>
  <dcterms:created xsi:type="dcterms:W3CDTF">2019-03-11T09:36:47Z</dcterms:created>
  <dcterms:modified xsi:type="dcterms:W3CDTF">2025-10-23T06:08:29Z</dcterms:modified>
  <dc:language>uk-UA</dc:language>
</cp:coreProperties>
</file>