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60" windowWidth="19320" windowHeight="11100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[30]Inform!$F$2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'[29]7  Інші витрати'!#REF!</definedName>
    <definedName name="іваіа">'[29]7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'[29]7  Інші витрати'!#REF!</definedName>
    <definedName name="йцукц">'[29]7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11.11.19'!$A$1:$J$237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'[29]7  Інші витрати'!#REF!</definedName>
    <definedName name="фіваіф">'[29]7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5621"/>
</workbook>
</file>

<file path=xl/calcChain.xml><?xml version="1.0" encoding="utf-8"?>
<calcChain xmlns="http://schemas.openxmlformats.org/spreadsheetml/2006/main">
  <c r="I206" i="3" l="1"/>
  <c r="I222" i="3"/>
  <c r="I221" i="3"/>
  <c r="I220" i="3"/>
  <c r="I219" i="3"/>
  <c r="I147" i="3"/>
  <c r="E139" i="3"/>
  <c r="I139" i="3"/>
  <c r="I51" i="3" l="1"/>
  <c r="I31" i="3"/>
  <c r="I33" i="3" l="1"/>
  <c r="I156" i="3"/>
  <c r="I155" i="3"/>
  <c r="I162" i="3"/>
  <c r="I140" i="3"/>
  <c r="I67" i="3" l="1"/>
  <c r="I66" i="3"/>
  <c r="I53" i="3"/>
  <c r="I50" i="3"/>
  <c r="I43" i="3"/>
  <c r="I40" i="3"/>
  <c r="I37" i="3"/>
  <c r="I223" i="3" l="1"/>
  <c r="I146" i="3"/>
  <c r="I137" i="3" l="1"/>
  <c r="H137" i="3"/>
  <c r="G137" i="3"/>
  <c r="F137" i="3"/>
  <c r="I215" i="3" l="1"/>
  <c r="H215" i="3"/>
  <c r="G215" i="3"/>
  <c r="I207" i="3"/>
  <c r="I158" i="3"/>
  <c r="I136" i="3" l="1"/>
  <c r="I153" i="3" l="1"/>
  <c r="I152" i="3"/>
  <c r="I151" i="3"/>
  <c r="I150" i="3" l="1"/>
  <c r="H151" i="3" l="1"/>
  <c r="H136" i="3"/>
  <c r="H46" i="3"/>
  <c r="H27" i="3"/>
  <c r="H146" i="3" l="1"/>
  <c r="H140" i="3"/>
  <c r="H156" i="3"/>
  <c r="H155" i="3"/>
  <c r="D36" i="3"/>
  <c r="D26" i="3"/>
  <c r="H51" i="3"/>
  <c r="H50" i="3"/>
  <c r="H33" i="3"/>
  <c r="H67" i="3" l="1"/>
  <c r="H66" i="3"/>
  <c r="H53" i="3"/>
  <c r="H43" i="3"/>
  <c r="H40" i="3"/>
  <c r="H37" i="3"/>
  <c r="G151" i="3" l="1"/>
  <c r="G152" i="3"/>
  <c r="G150" i="3"/>
  <c r="H222" i="3" l="1"/>
  <c r="H221" i="3"/>
  <c r="H206" i="3"/>
  <c r="G206" i="3"/>
  <c r="G221" i="3"/>
  <c r="I148" i="3"/>
  <c r="H148" i="3"/>
  <c r="H158" i="3"/>
  <c r="H154" i="3"/>
  <c r="H48" i="3" l="1"/>
  <c r="G48" i="3"/>
  <c r="G46" i="3"/>
  <c r="G92" i="3"/>
  <c r="G91" i="3"/>
  <c r="G51" i="3"/>
  <c r="G50" i="3"/>
  <c r="G37" i="3"/>
  <c r="G27" i="3"/>
  <c r="G220" i="3"/>
  <c r="G223" i="3"/>
  <c r="G207" i="3"/>
  <c r="G153" i="3" l="1"/>
  <c r="F153" i="3"/>
  <c r="F152" i="3"/>
  <c r="F151" i="3"/>
  <c r="F150" i="3"/>
  <c r="G136" i="3"/>
  <c r="F136" i="3"/>
  <c r="H153" i="3" l="1"/>
  <c r="H152" i="3"/>
  <c r="H150" i="3"/>
  <c r="G156" i="3"/>
  <c r="G155" i="3"/>
  <c r="G140" i="3" l="1"/>
  <c r="G195" i="3"/>
  <c r="G162" i="3"/>
  <c r="G158" i="3"/>
  <c r="G146" i="3"/>
  <c r="G148" i="3"/>
  <c r="F40" i="3" l="1"/>
  <c r="G43" i="3"/>
  <c r="F43" i="3"/>
  <c r="F51" i="3"/>
  <c r="F50" i="3"/>
  <c r="F98" i="3"/>
  <c r="F221" i="3" l="1"/>
  <c r="F220" i="3"/>
  <c r="H162" i="3" l="1"/>
  <c r="F162" i="3"/>
  <c r="F156" i="3"/>
  <c r="F155" i="3"/>
  <c r="F147" i="3" l="1"/>
  <c r="F195" i="3"/>
  <c r="F158" i="3"/>
  <c r="F148" i="3"/>
  <c r="F146" i="3"/>
  <c r="F140" i="3"/>
  <c r="I60" i="3" l="1"/>
  <c r="H60" i="3"/>
  <c r="G60" i="3"/>
  <c r="F60" i="3"/>
  <c r="C55" i="3" l="1"/>
  <c r="E89" i="3"/>
  <c r="F223" i="3" l="1"/>
  <c r="F219" i="3"/>
  <c r="E143" i="3" l="1"/>
  <c r="D143" i="3" s="1"/>
  <c r="H232" i="3" l="1"/>
  <c r="G232" i="3"/>
  <c r="F232" i="3"/>
  <c r="H231" i="3"/>
  <c r="G231" i="3" s="1"/>
  <c r="F231" i="3" s="1"/>
  <c r="E224" i="3"/>
  <c r="D224" i="3" s="1"/>
  <c r="E223" i="3"/>
  <c r="D223" i="3" s="1"/>
  <c r="E222" i="3"/>
  <c r="D222" i="3" s="1"/>
  <c r="E221" i="3"/>
  <c r="D221" i="3" s="1"/>
  <c r="E220" i="3"/>
  <c r="D220" i="3" s="1"/>
  <c r="E219" i="3"/>
  <c r="D219" i="3" s="1"/>
  <c r="E217" i="3"/>
  <c r="D217" i="3" s="1"/>
  <c r="E216" i="3"/>
  <c r="H214" i="3"/>
  <c r="G214" i="3"/>
  <c r="F215" i="3"/>
  <c r="I214" i="3"/>
  <c r="E213" i="3"/>
  <c r="E212" i="3"/>
  <c r="E211" i="3"/>
  <c r="D210" i="3"/>
  <c r="E209" i="3"/>
  <c r="D209" i="3" s="1"/>
  <c r="E208" i="3"/>
  <c r="D208" i="3" s="1"/>
  <c r="E207" i="3"/>
  <c r="D207" i="3" s="1"/>
  <c r="E206" i="3"/>
  <c r="D206" i="3" s="1"/>
  <c r="I205" i="3"/>
  <c r="H205" i="3"/>
  <c r="G205" i="3"/>
  <c r="F205" i="3"/>
  <c r="E204" i="3"/>
  <c r="E203" i="3"/>
  <c r="E202" i="3"/>
  <c r="E199" i="3"/>
  <c r="E198" i="3"/>
  <c r="E197" i="3"/>
  <c r="E196" i="3"/>
  <c r="E195" i="3"/>
  <c r="D195" i="3" s="1"/>
  <c r="E194" i="3"/>
  <c r="I193" i="3"/>
  <c r="H193" i="3"/>
  <c r="G193" i="3"/>
  <c r="F193" i="3"/>
  <c r="E192" i="3"/>
  <c r="I191" i="3"/>
  <c r="H191" i="3"/>
  <c r="I187" i="3"/>
  <c r="H187" i="3"/>
  <c r="G187" i="3"/>
  <c r="F187" i="3"/>
  <c r="I186" i="3"/>
  <c r="H186" i="3"/>
  <c r="G186" i="3"/>
  <c r="F186" i="3"/>
  <c r="I185" i="3"/>
  <c r="H185" i="3"/>
  <c r="G185" i="3"/>
  <c r="F185" i="3"/>
  <c r="I184" i="3"/>
  <c r="H184" i="3"/>
  <c r="G184" i="3"/>
  <c r="F184" i="3"/>
  <c r="E181" i="3"/>
  <c r="E180" i="3"/>
  <c r="E179" i="3"/>
  <c r="E178" i="3"/>
  <c r="E177" i="3"/>
  <c r="E174" i="3"/>
  <c r="E172" i="3"/>
  <c r="E171" i="3"/>
  <c r="E170" i="3"/>
  <c r="E169" i="3"/>
  <c r="E168" i="3"/>
  <c r="E167" i="3"/>
  <c r="E166" i="3"/>
  <c r="E165" i="3"/>
  <c r="I164" i="3"/>
  <c r="H164" i="3"/>
  <c r="G164" i="3"/>
  <c r="F164" i="3"/>
  <c r="D164" i="3"/>
  <c r="C164" i="3"/>
  <c r="E163" i="3"/>
  <c r="E162" i="3"/>
  <c r="D162" i="3" s="1"/>
  <c r="E161" i="3"/>
  <c r="I160" i="3"/>
  <c r="H160" i="3"/>
  <c r="G160" i="3"/>
  <c r="F160" i="3"/>
  <c r="E159" i="3"/>
  <c r="E158" i="3"/>
  <c r="D158" i="3" s="1"/>
  <c r="E157" i="3"/>
  <c r="E156" i="3"/>
  <c r="D156" i="3" s="1"/>
  <c r="E155" i="3"/>
  <c r="D155" i="3" s="1"/>
  <c r="E154" i="3"/>
  <c r="E153" i="3"/>
  <c r="D153" i="3" s="1"/>
  <c r="E152" i="3"/>
  <c r="D152" i="3" s="1"/>
  <c r="E151" i="3"/>
  <c r="D151" i="3" s="1"/>
  <c r="E150" i="3"/>
  <c r="D150" i="3" s="1"/>
  <c r="I149" i="3"/>
  <c r="H149" i="3"/>
  <c r="G149" i="3"/>
  <c r="F149" i="3"/>
  <c r="E148" i="3"/>
  <c r="D148" i="3" s="1"/>
  <c r="E147" i="3"/>
  <c r="D147" i="3" s="1"/>
  <c r="E146" i="3"/>
  <c r="D146" i="3" s="1"/>
  <c r="I145" i="3"/>
  <c r="H145" i="3"/>
  <c r="G145" i="3"/>
  <c r="F145" i="3"/>
  <c r="E140" i="3"/>
  <c r="D140" i="3" s="1"/>
  <c r="E138" i="3"/>
  <c r="E137" i="3"/>
  <c r="E136" i="3"/>
  <c r="D136" i="3" s="1"/>
  <c r="I135" i="3"/>
  <c r="I225" i="3" s="1"/>
  <c r="H135" i="3"/>
  <c r="H225" i="3" s="1"/>
  <c r="G135" i="3"/>
  <c r="G225" i="3" s="1"/>
  <c r="F135" i="3"/>
  <c r="F225" i="3" l="1"/>
  <c r="I144" i="3"/>
  <c r="I226" i="3" s="1"/>
  <c r="I227" i="3" s="1"/>
  <c r="F183" i="3"/>
  <c r="H183" i="3"/>
  <c r="E185" i="3"/>
  <c r="D185" i="3" s="1"/>
  <c r="E187" i="3"/>
  <c r="E191" i="3"/>
  <c r="E205" i="3"/>
  <c r="D205" i="3" s="1"/>
  <c r="E215" i="3"/>
  <c r="D215" i="3" s="1"/>
  <c r="G183" i="3"/>
  <c r="I183" i="3"/>
  <c r="F188" i="3"/>
  <c r="H188" i="3"/>
  <c r="E149" i="3"/>
  <c r="D149" i="3" s="1"/>
  <c r="E145" i="3"/>
  <c r="D145" i="3" s="1"/>
  <c r="G188" i="3"/>
  <c r="I188" i="3"/>
  <c r="E164" i="3"/>
  <c r="E184" i="3"/>
  <c r="D184" i="3" s="1"/>
  <c r="G144" i="3"/>
  <c r="G226" i="3" s="1"/>
  <c r="G227" i="3" s="1"/>
  <c r="E160" i="3"/>
  <c r="D160" i="3" s="1"/>
  <c r="H144" i="3"/>
  <c r="H226" i="3" s="1"/>
  <c r="H227" i="3" s="1"/>
  <c r="E186" i="3"/>
  <c r="E193" i="3"/>
  <c r="D193" i="3" s="1"/>
  <c r="E225" i="3"/>
  <c r="D225" i="3" s="1"/>
  <c r="E135" i="3"/>
  <c r="D135" i="3" s="1"/>
  <c r="F144" i="3"/>
  <c r="F214" i="3"/>
  <c r="E214" i="3" s="1"/>
  <c r="D214" i="3" s="1"/>
  <c r="C83" i="3"/>
  <c r="C82" i="3"/>
  <c r="C81" i="3"/>
  <c r="C80" i="3"/>
  <c r="C36" i="3"/>
  <c r="C44" i="3"/>
  <c r="C26" i="3"/>
  <c r="D87" i="3"/>
  <c r="D83" i="3"/>
  <c r="D82" i="3"/>
  <c r="D81" i="3"/>
  <c r="D80" i="3"/>
  <c r="D44" i="3"/>
  <c r="D90" i="3"/>
  <c r="D98" i="3"/>
  <c r="D108" i="3" l="1"/>
  <c r="G189" i="3"/>
  <c r="F189" i="3"/>
  <c r="I189" i="3"/>
  <c r="E188" i="3"/>
  <c r="D188" i="3" s="1"/>
  <c r="E183" i="3"/>
  <c r="D183" i="3" s="1"/>
  <c r="H189" i="3"/>
  <c r="C79" i="3"/>
  <c r="F226" i="3"/>
  <c r="E144" i="3"/>
  <c r="D144" i="3" s="1"/>
  <c r="D79" i="3"/>
  <c r="F55" i="3"/>
  <c r="E91" i="3"/>
  <c r="E101" i="3"/>
  <c r="I87" i="3"/>
  <c r="H87" i="3"/>
  <c r="G87" i="3"/>
  <c r="F87" i="3"/>
  <c r="I98" i="3"/>
  <c r="H98" i="3"/>
  <c r="G98" i="3"/>
  <c r="I36" i="3"/>
  <c r="I44" i="3"/>
  <c r="I55" i="3"/>
  <c r="H36" i="3"/>
  <c r="H44" i="3"/>
  <c r="H55" i="3"/>
  <c r="G36" i="3"/>
  <c r="G44" i="3"/>
  <c r="G55" i="3"/>
  <c r="F36" i="3"/>
  <c r="F44" i="3"/>
  <c r="F84" i="3" s="1"/>
  <c r="I28" i="3"/>
  <c r="I26" i="3" s="1"/>
  <c r="H28" i="3"/>
  <c r="H26" i="3" s="1"/>
  <c r="G28" i="3"/>
  <c r="G26" i="3" s="1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84" i="3" s="1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D84" i="3" s="1"/>
  <c r="H83" i="3"/>
  <c r="E54" i="3"/>
  <c r="E53" i="3"/>
  <c r="E52" i="3"/>
  <c r="I81" i="3"/>
  <c r="G81" i="3"/>
  <c r="E51" i="3"/>
  <c r="H80" i="3"/>
  <c r="F80" i="3"/>
  <c r="E43" i="3"/>
  <c r="E40" i="3"/>
  <c r="E39" i="3"/>
  <c r="E37" i="3"/>
  <c r="E32" i="3"/>
  <c r="E30" i="3"/>
  <c r="E27" i="3"/>
  <c r="E50" i="3"/>
  <c r="D35" i="3" l="1"/>
  <c r="F108" i="3"/>
  <c r="E26" i="3"/>
  <c r="C85" i="3"/>
  <c r="E189" i="3"/>
  <c r="D189" i="3" s="1"/>
  <c r="E55" i="3"/>
  <c r="E226" i="3"/>
  <c r="F227" i="3"/>
  <c r="E87" i="3"/>
  <c r="D109" i="3"/>
  <c r="C109" i="3"/>
  <c r="C110" i="3" s="1"/>
  <c r="E60" i="3"/>
  <c r="D85" i="3"/>
  <c r="C35" i="3"/>
  <c r="E83" i="3"/>
  <c r="E82" i="3"/>
  <c r="H108" i="3"/>
  <c r="I79" i="3"/>
  <c r="I84" i="3"/>
  <c r="E90" i="3"/>
  <c r="E36" i="3"/>
  <c r="I35" i="3"/>
  <c r="E80" i="3"/>
  <c r="E81" i="3"/>
  <c r="G84" i="3"/>
  <c r="H84" i="3"/>
  <c r="F35" i="3"/>
  <c r="H79" i="3"/>
  <c r="H35" i="3"/>
  <c r="G79" i="3"/>
  <c r="E44" i="3"/>
  <c r="F79" i="3"/>
  <c r="G35" i="3"/>
  <c r="E28" i="3"/>
  <c r="I108" i="3"/>
  <c r="E98" i="3"/>
  <c r="G108" i="3"/>
  <c r="E227" i="3" l="1"/>
  <c r="D226" i="3"/>
  <c r="D227" i="3" s="1"/>
  <c r="I85" i="3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F109" i="3" l="1"/>
  <c r="E85" i="3"/>
  <c r="F110" i="3" l="1"/>
  <c r="E109" i="3"/>
  <c r="E110" i="3" s="1"/>
</calcChain>
</file>

<file path=xl/sharedStrings.xml><?xml version="1.0" encoding="utf-8"?>
<sst xmlns="http://schemas.openxmlformats.org/spreadsheetml/2006/main" count="321" uniqueCount="183">
  <si>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</si>
  <si>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</si>
  <si>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</si>
  <si>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</si>
  <si>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</si>
  <si>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</si>
  <si>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</si>
  <si>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</si>
  <si>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</si>
  <si>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</si>
  <si>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</si>
  <si>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</si>
  <si>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</si>
  <si>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</si>
  <si>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</si>
  <si>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</si>
  <si>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</si>
  <si>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</si>
  <si>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</si>
  <si>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</si>
  <si>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</si>
  <si>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</si>
  <si>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</si>
  <si>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</si>
  <si>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</si>
  <si>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</si>
  <si>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</si>
  <si>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</si>
  <si>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</si>
  <si>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</si>
  <si>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</si>
  <si>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</si>
  <si>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</si>
  <si>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</si>
  <si>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</si>
  <si>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</si>
  <si>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</si>
  <si>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</si>
  <si>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</si>
  <si>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</si>
  <si>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</si>
  <si>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</si>
  <si>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</si>
  <si>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</si>
  <si>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</si>
  <si>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</si>
  <si>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</si>
  <si>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</si>
  <si>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</si>
  <si>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</si>
  <si>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</si>
  <si>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</si>
  <si>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</si>
  <si>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</si>
  <si>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</si>
  <si>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</si>
  <si>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</si>
  <si>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</si>
  <si>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</si>
  <si>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</si>
  <si>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</si>
  <si>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</si>
  <si>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</si>
  <si>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</si>
  <si>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</si>
  <si>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</si>
  <si>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</si>
  <si>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</si>
  <si>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</si>
  <si>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</si>
  <si>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</si>
  <si>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</si>
  <si>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</si>
  <si>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</si>
  <si>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</si>
  <si>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</si>
  <si>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</si>
  <si>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</si>
  <si>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</si>
  <si>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</si>
  <si>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</si>
  <si>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</si>
  <si>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</si>
  <si>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</si>
  <si>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</si>
  <si>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</si>
  <si>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</si>
  <si>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</si>
  <si>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</si>
  <si>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</si>
  <si>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</si>
  <si>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</si>
  <si>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</si>
  <si>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</si>
  <si>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</si>
  <si>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</si>
  <si>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</si>
  <si>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</si>
  <si>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</si>
  <si>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</si>
  <si>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</si>
  <si>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</si>
  <si>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</si>
  <si>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</si>
  <si>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</si>
  <si>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</si>
  <si>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</si>
  <si>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</si>
  <si>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</si>
  <si>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</si>
  <si>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</si>
  <si>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86.10</t>
  </si>
  <si>
    <t>від</t>
  </si>
  <si>
    <t>№</t>
  </si>
  <si>
    <t>м. Косів</t>
  </si>
  <si>
    <t>78601 Івано-Франківська область, м.Косів, провул. Шевченка, 27</t>
  </si>
  <si>
    <t>2-16-21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</si>
  <si>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</si>
  <si>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</si>
  <si>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</si>
  <si>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</si>
  <si>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</si>
  <si>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</si>
  <si>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</si>
  <si>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</si>
  <si>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</si>
  <si>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</si>
  <si>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</si>
  <si>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</si>
  <si>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Комунальне некомерційне підприємство "Косівська центральна районна лікарня»</t>
  </si>
  <si>
    <t>Загальна медична практика</t>
  </si>
  <si>
    <t>рішенням Косівської міської ради</t>
  </si>
  <si>
    <t>Косівська міська рада</t>
  </si>
  <si>
    <t>Міський голова</t>
  </si>
  <si>
    <t>Витрати на обслуговування автомобілів(запчастини, акумулятори, колеса, шини)</t>
  </si>
  <si>
    <t>Програмне забезпечення, провірка лічильників; ремонт котлів та лічильників; ремонт автотранспорту; обов'язкове страхування водіїв та автотранспорту; заправка картриджів; послуги зв'язку та інтернету; перезарядка вогнегасників; поточний ремонт приміщень тощо.</t>
  </si>
  <si>
    <t>Дезрозчини, вироби медичного призначення, лаборреактиви, медикаменти, медичні матеріали, медичне обладнання  тощо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</si>
  <si>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</si>
  <si>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</si>
  <si>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</si>
  <si>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</si>
  <si>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Розділ 1 .ПЕРВИННА МЕДИЧНА ДОПОМОГА</t>
  </si>
  <si>
    <t>Діяльність лікарняних закладів</t>
  </si>
  <si>
    <t>Середньооблікова кількість штатних працівників в еквіваленті повної  зайнятості</t>
  </si>
  <si>
    <t>Дохід з місцевого бюджету цільового фінансування на оплату комунальних послуг та енергоносіїв, товарів, робіт та послуг, інші видатки</t>
  </si>
  <si>
    <t>Дохід за договорами НСЗУ( вторинка)</t>
  </si>
  <si>
    <t>Дохід за договорами НСЗУ( COVID)</t>
  </si>
  <si>
    <t>Дохід за договорами НСЗУ( перехідне фінансове забезпечення)</t>
  </si>
  <si>
    <t>господарські товари та інвентар, будівельні та комп'ютерні товари,ремонт та запасні частини до транспортних засобів,шини,м'який інвентар,канцелярські товари, витрати на паливо-мастильні матеріали,бланки, папір друкарський,</t>
  </si>
  <si>
    <t xml:space="preserve"> Миючі засоби,господарські товари, комплектуючі носії ,паливо-мастильні матеріали, запасні частини</t>
  </si>
  <si>
    <t xml:space="preserve">
- Збирання та вивіз біологічних відходів
- Викачка нечистот 
-Повірка лічильників 
- Ремонт котлів та лічильників
- Обстеження та ремонт  обладнання 
- Ремонт автотранспорту
- Обов'язкове страхування водіїв та автотранспорту
- Метрологічні роботи
- Проведення бак досліджень
- Заправка картриджів
- Техобслуговування ліфтів
- Послуги зв’язку та інтернету
- Послуги системи безпеки та охорони 
- Техобслуговування рентгенобладнання
- Поховання біохімічних відходів
- Перезарядка вогнегасників
- Послуги по супроводу та обслуговуванню програм
- Поточний ремонт приміщень
- Послуги по навчанню персоналу
-  Техогляд автотранспорту                                            - Оренда кисневої системи</t>
  </si>
  <si>
    <t>надходження від платних послуг</t>
  </si>
  <si>
    <t>надходження благодійної допомоги в грошовій формі</t>
  </si>
  <si>
    <t>надходження з бюджету розвитку</t>
  </si>
  <si>
    <t xml:space="preserve"> Інші витрати (витрати від платних послуг,від благодійної допомоги в грошовій формі,від благодійної допомоги в натуральній формі)</t>
  </si>
  <si>
    <t>оплата послуг</t>
  </si>
  <si>
    <t>витрати на податки та інші видатки</t>
  </si>
  <si>
    <t>придбання обладнання</t>
  </si>
  <si>
    <t>капітальний ремонт інших об'єктів</t>
  </si>
  <si>
    <t>Розділ 2 .ВТОРИННА (СПЕЦІАЛІЗОВАНА) МЕДИЧНА ДОПОМОГА</t>
  </si>
  <si>
    <t>Відшкодування вартості медикаментів по безкоштовних рецептах,</t>
  </si>
  <si>
    <t>Невикористаний залишок коштів на 01.01.2023 р.</t>
  </si>
  <si>
    <t>ФІНАНСОВИЙ ПЛАН ПІДПРИЄМСТВА НА 2023 рік ЗІ ЗМІНАМИ</t>
  </si>
  <si>
    <t>сума коштів, передбачена в місцевому бюджеті   на оплату  комунальних  послуг та енергоносіїв</t>
  </si>
  <si>
    <t xml:space="preserve"> Нерозподілений залишок на рахунку станом на 01.01.2023р.</t>
  </si>
  <si>
    <t>Програма розвитку та фінансової підтримки КНП "Косівська ЦРЛ2 на 2021-2022 роки</t>
  </si>
  <si>
    <t>Цільова програма "Здоров'я громади на 2023-2025 роки"</t>
  </si>
  <si>
    <t>у 1 кв:.8760,7 тис.грн- дохід за договором з НСЗУ за 2022 рік, 31248,1- дохід за договорами з НСЗУ за 2023 рік</t>
  </si>
  <si>
    <t>Коаліція за вакцинацію</t>
  </si>
  <si>
    <t>Інші надходження</t>
  </si>
  <si>
    <t>Фазан Іван Васильович</t>
  </si>
  <si>
    <t>лапароскопічна стійка з інструментарієм -1592,0тис.грн., 3 хірургічні стельові світильники, ноші медичні, камера для зберігання стерильних виробів, шафи медичні, щит АВР</t>
  </si>
  <si>
    <t xml:space="preserve">Інші надходження </t>
  </si>
  <si>
    <t>Дохід за договорами НСЗУ (туберкульоз)</t>
  </si>
  <si>
    <t>сума коштів з місцевого бюджету передбачена на медико-санітарне забезпечення військовослужбовців та членів їхніх родин та родин загиблих на війні</t>
  </si>
  <si>
    <t>Дезінфекційні середники, розхідні матеріали; медикаменти, медичні матеріали, діагностичне приладдя, в т.ч 30,0 тис.грн по програмі на придбання медикаментів військовим(4 кв.)</t>
  </si>
  <si>
    <t>комп'ютери,газова плита( в баклабораторію), придбання кондиціонерів в палати , де лікуються військові(70,0тис.грн.)</t>
  </si>
  <si>
    <t>Капітальний ремонт(ремонт АЗПСМ с.Пістинь, с.Шешори, с.Яворів, бухгалтерії, ФАПу с. Снідавка)</t>
  </si>
  <si>
    <t xml:space="preserve">Придбання обладнання (аналізатор глюкози, зарядні станції для 5 АЗПСМ, автоматична мийка-дезінфектор для ендоскопів, електрокардіографи, шафи медичні для ліків та інструментів, ноутбуки, кондиціонери, персональні комп'ютери, принтери,  аспіратор-іригатор, дозиметр- радіометр,  інсуфлятор, стоматологічна установка, холтер, компресор, електроенцефалоглаф)  </t>
  </si>
  <si>
    <t xml:space="preserve">придбання кондиціонерів </t>
  </si>
  <si>
    <t>Юрій ПЛОСКОНОС</t>
  </si>
  <si>
    <t>_____________ Віта ДОВБЕНЧУК</t>
  </si>
  <si>
    <t>Іван ФАЗАН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</si>
</sst>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7" fontId="1" fillId="0" borderId="3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2" fontId="10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left" vertical="top" wrapText="1" shrinkToFit="1"/>
    </xf>
    <xf numFmtId="164" fontId="1" fillId="5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2"/>
  <sheetViews>
    <sheetView tabSelected="1" topLeftCell="A147" zoomScale="75" zoomScaleNormal="75" zoomScaleSheetLayoutView="40" workbookViewId="0">
      <selection activeCell="D155" sqref="D155"/>
    </sheetView>
  </sheetViews>
  <sheetFormatPr defaultColWidth="9.140625" defaultRowHeight="18.75" x14ac:dyDescent="0.2"/>
  <cols>
    <col min="1" max="1" width="54.140625" style="1" customWidth="1"/>
    <col min="2" max="2" width="6.42578125" style="2" customWidth="1"/>
    <col min="3" max="3" width="14.85546875" style="2" customWidth="1"/>
    <col min="4" max="4" width="14" style="2" customWidth="1"/>
    <col min="5" max="5" width="14.140625" style="77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0" customWidth="1"/>
    <col min="11" max="16384" width="9.140625" style="1"/>
  </cols>
  <sheetData>
    <row r="1" spans="1:9" x14ac:dyDescent="0.2">
      <c r="A1" s="62" t="s">
        <v>138</v>
      </c>
      <c r="C1" s="1"/>
      <c r="H1" s="123" t="s">
        <v>0</v>
      </c>
      <c r="I1" s="123"/>
    </row>
    <row r="2" spans="1:9" x14ac:dyDescent="0.2">
      <c r="A2" s="62" t="s">
        <v>139</v>
      </c>
      <c r="H2" s="3" t="s">
        <v>131</v>
      </c>
      <c r="I2" s="3"/>
    </row>
    <row r="3" spans="1:9" x14ac:dyDescent="0.2">
      <c r="A3" s="62" t="s">
        <v>140</v>
      </c>
      <c r="H3" s="4" t="s">
        <v>112</v>
      </c>
      <c r="I3" s="4" t="s">
        <v>113</v>
      </c>
    </row>
    <row r="4" spans="1:9" x14ac:dyDescent="0.2">
      <c r="A4" s="62" t="s">
        <v>181</v>
      </c>
      <c r="H4" s="4" t="s">
        <v>133</v>
      </c>
      <c r="I4" s="4"/>
    </row>
    <row r="5" spans="1:9" ht="33" customHeight="1" x14ac:dyDescent="0.2">
      <c r="A5" s="59"/>
      <c r="H5" s="1" t="s">
        <v>180</v>
      </c>
      <c r="I5" s="57"/>
    </row>
    <row r="6" spans="1:9" ht="33" customHeight="1" x14ac:dyDescent="0.2">
      <c r="A6" s="132" t="s">
        <v>162</v>
      </c>
      <c r="B6" s="132"/>
      <c r="C6" s="132"/>
      <c r="D6" s="132"/>
      <c r="E6" s="132"/>
      <c r="F6" s="132"/>
      <c r="G6" s="132"/>
      <c r="H6" s="132"/>
      <c r="I6" s="132"/>
    </row>
    <row r="7" spans="1:9" ht="33" customHeight="1" x14ac:dyDescent="0.2">
      <c r="A7" s="132" t="s">
        <v>141</v>
      </c>
      <c r="B7" s="132"/>
      <c r="C7" s="132"/>
      <c r="D7" s="132"/>
      <c r="E7" s="132"/>
      <c r="F7" s="132"/>
      <c r="G7" s="132"/>
      <c r="H7" s="132"/>
      <c r="I7" s="132"/>
    </row>
    <row r="8" spans="1:9" ht="78.75" customHeight="1" x14ac:dyDescent="0.2">
      <c r="A8" s="7" t="s">
        <v>1</v>
      </c>
      <c r="B8" s="129" t="s">
        <v>129</v>
      </c>
      <c r="C8" s="129"/>
      <c r="D8" s="129"/>
      <c r="E8" s="129"/>
      <c r="F8" s="129"/>
      <c r="G8" s="8"/>
      <c r="H8" s="5" t="s">
        <v>2</v>
      </c>
      <c r="I8" s="6">
        <v>1993546</v>
      </c>
    </row>
    <row r="9" spans="1:9" x14ac:dyDescent="0.2">
      <c r="A9" s="7" t="s">
        <v>3</v>
      </c>
      <c r="B9" s="129" t="s">
        <v>4</v>
      </c>
      <c r="C9" s="129"/>
      <c r="D9" s="129"/>
      <c r="E9" s="129"/>
      <c r="F9" s="4"/>
      <c r="G9" s="9"/>
      <c r="H9" s="5" t="s">
        <v>5</v>
      </c>
      <c r="I9" s="6"/>
    </row>
    <row r="10" spans="1:9" x14ac:dyDescent="0.2">
      <c r="A10" s="7" t="s">
        <v>6</v>
      </c>
      <c r="B10" s="129" t="s">
        <v>114</v>
      </c>
      <c r="C10" s="129"/>
      <c r="D10" s="129"/>
      <c r="E10" s="129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129" t="s">
        <v>132</v>
      </c>
      <c r="C11" s="129"/>
      <c r="D11" s="129"/>
      <c r="E11" s="129"/>
      <c r="F11" s="129"/>
      <c r="G11" s="8"/>
      <c r="H11" s="5" t="s">
        <v>9</v>
      </c>
      <c r="I11" s="6"/>
    </row>
    <row r="12" spans="1:9" x14ac:dyDescent="0.2">
      <c r="A12" s="7" t="s">
        <v>10</v>
      </c>
      <c r="B12" s="129" t="s">
        <v>11</v>
      </c>
      <c r="C12" s="129"/>
      <c r="D12" s="129"/>
      <c r="E12" s="129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129" t="s">
        <v>130</v>
      </c>
      <c r="C13" s="129"/>
      <c r="D13" s="129"/>
      <c r="E13" s="129"/>
      <c r="F13" s="10"/>
      <c r="G13" s="11"/>
      <c r="H13" s="12" t="s">
        <v>14</v>
      </c>
      <c r="I13" s="6" t="s">
        <v>111</v>
      </c>
    </row>
    <row r="14" spans="1:9" ht="18.75" customHeight="1" x14ac:dyDescent="0.2">
      <c r="A14" s="7" t="s">
        <v>15</v>
      </c>
      <c r="B14" s="129" t="s">
        <v>107</v>
      </c>
      <c r="C14" s="129"/>
      <c r="D14" s="129"/>
      <c r="E14" s="129"/>
      <c r="F14" s="129"/>
      <c r="G14" s="133"/>
      <c r="H14" s="134"/>
      <c r="I14" s="13"/>
    </row>
    <row r="15" spans="1:9" ht="18.75" customHeight="1" x14ac:dyDescent="0.2">
      <c r="A15" s="7" t="s">
        <v>16</v>
      </c>
      <c r="B15" s="129" t="s">
        <v>17</v>
      </c>
      <c r="C15" s="129"/>
      <c r="D15" s="129"/>
      <c r="E15" s="129"/>
      <c r="F15" s="129"/>
      <c r="G15" s="133"/>
      <c r="H15" s="134"/>
      <c r="I15" s="14"/>
    </row>
    <row r="16" spans="1:9" ht="37.5" x14ac:dyDescent="0.2">
      <c r="A16" s="7" t="s">
        <v>143</v>
      </c>
      <c r="B16" s="128">
        <v>77.75</v>
      </c>
      <c r="C16" s="128"/>
      <c r="D16" s="128"/>
      <c r="E16" s="128"/>
      <c r="F16" s="10"/>
      <c r="G16" s="10"/>
      <c r="H16" s="10"/>
      <c r="I16" s="8"/>
    </row>
    <row r="17" spans="1:10" ht="41.25" customHeight="1" x14ac:dyDescent="0.2">
      <c r="A17" s="7" t="s">
        <v>18</v>
      </c>
      <c r="B17" s="128" t="s">
        <v>115</v>
      </c>
      <c r="C17" s="128"/>
      <c r="D17" s="128"/>
      <c r="E17" s="128"/>
      <c r="F17" s="128"/>
      <c r="G17" s="4"/>
      <c r="H17" s="4"/>
      <c r="I17" s="9"/>
    </row>
    <row r="18" spans="1:10" x14ac:dyDescent="0.2">
      <c r="A18" s="7" t="s">
        <v>19</v>
      </c>
      <c r="B18" s="128" t="s">
        <v>116</v>
      </c>
      <c r="C18" s="128"/>
      <c r="D18" s="128"/>
      <c r="E18" s="128"/>
      <c r="F18" s="10"/>
      <c r="G18" s="10"/>
      <c r="H18" s="10"/>
      <c r="I18" s="8"/>
    </row>
    <row r="19" spans="1:10" x14ac:dyDescent="0.2">
      <c r="A19" s="7" t="s">
        <v>20</v>
      </c>
      <c r="B19" s="128" t="s">
        <v>170</v>
      </c>
      <c r="C19" s="128"/>
      <c r="D19" s="128"/>
      <c r="E19" s="128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78"/>
      <c r="F20" s="15"/>
      <c r="G20" s="15"/>
      <c r="H20" s="15"/>
      <c r="I20" s="15" t="s">
        <v>21</v>
      </c>
    </row>
    <row r="21" spans="1:10" ht="36" customHeight="1" x14ac:dyDescent="0.2">
      <c r="A21" s="125" t="s">
        <v>22</v>
      </c>
      <c r="B21" s="126" t="s">
        <v>23</v>
      </c>
      <c r="C21" s="126" t="s">
        <v>24</v>
      </c>
      <c r="D21" s="126" t="s">
        <v>25</v>
      </c>
      <c r="E21" s="127" t="s">
        <v>26</v>
      </c>
      <c r="F21" s="126" t="s">
        <v>27</v>
      </c>
      <c r="G21" s="126"/>
      <c r="H21" s="126"/>
      <c r="I21" s="126"/>
      <c r="J21" s="124" t="s">
        <v>28</v>
      </c>
    </row>
    <row r="22" spans="1:10" ht="61.5" customHeight="1" x14ac:dyDescent="0.2">
      <c r="A22" s="125"/>
      <c r="B22" s="126"/>
      <c r="C22" s="126"/>
      <c r="D22" s="126"/>
      <c r="E22" s="127"/>
      <c r="F22" s="17" t="s">
        <v>29</v>
      </c>
      <c r="G22" s="17" t="s">
        <v>30</v>
      </c>
      <c r="H22" s="17" t="s">
        <v>31</v>
      </c>
      <c r="I22" s="17" t="s">
        <v>32</v>
      </c>
      <c r="J22" s="124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79">
        <v>5</v>
      </c>
      <c r="F23" s="13">
        <v>6</v>
      </c>
      <c r="G23" s="13">
        <v>7</v>
      </c>
      <c r="H23" s="13">
        <v>8</v>
      </c>
      <c r="I23" s="13">
        <v>9</v>
      </c>
      <c r="J23" s="51">
        <v>10</v>
      </c>
    </row>
    <row r="24" spans="1:10" ht="18" customHeight="1" x14ac:dyDescent="0.2">
      <c r="A24" s="119" t="s">
        <v>33</v>
      </c>
      <c r="B24" s="119"/>
      <c r="C24" s="119"/>
      <c r="D24" s="119"/>
      <c r="E24" s="119"/>
      <c r="F24" s="119"/>
      <c r="G24" s="119"/>
      <c r="H24" s="119"/>
      <c r="I24" s="119"/>
      <c r="J24" s="51"/>
    </row>
    <row r="25" spans="1:10" s="18" customFormat="1" ht="20.100000000000001" customHeight="1" x14ac:dyDescent="0.2">
      <c r="A25" s="119" t="s">
        <v>34</v>
      </c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 s="18" customFormat="1" ht="98.25" customHeight="1" x14ac:dyDescent="0.2">
      <c r="A26" s="19" t="s">
        <v>35</v>
      </c>
      <c r="B26" s="20">
        <v>100</v>
      </c>
      <c r="C26" s="60">
        <f>C27+C32+C33</f>
        <v>28521.1</v>
      </c>
      <c r="D26" s="48">
        <f>D27+D32+D33+D31+D29</f>
        <v>27956.400000000001</v>
      </c>
      <c r="E26" s="80">
        <f>F26+G26+H26+I26</f>
        <v>27956.350000000002</v>
      </c>
      <c r="F26" s="48">
        <f>F27+F28+F31+F32+F33</f>
        <v>7400.1</v>
      </c>
      <c r="G26" s="48">
        <f>G27+G28+G31+G32+G33+G34</f>
        <v>7356.2</v>
      </c>
      <c r="H26" s="48">
        <f>H27+H28+H31+H32+H33+H34</f>
        <v>5954.6</v>
      </c>
      <c r="I26" s="48">
        <f>I27+I28+I31+I32+I33+I34</f>
        <v>7245.45</v>
      </c>
      <c r="J26" s="52"/>
    </row>
    <row r="27" spans="1:10" s="18" customFormat="1" ht="56.25" x14ac:dyDescent="0.2">
      <c r="A27" s="19" t="s">
        <v>36</v>
      </c>
      <c r="B27" s="20">
        <v>110</v>
      </c>
      <c r="C27" s="58">
        <v>613.20000000000005</v>
      </c>
      <c r="D27" s="48">
        <v>895.4</v>
      </c>
      <c r="E27" s="80">
        <f>F27+G27+H27+I27</f>
        <v>895.39999999999986</v>
      </c>
      <c r="F27" s="22">
        <v>200.1</v>
      </c>
      <c r="G27" s="22">
        <f>199.5+70.7</f>
        <v>270.2</v>
      </c>
      <c r="H27" s="22">
        <f>199.6-70.7+53.4</f>
        <v>182.29999999999998</v>
      </c>
      <c r="I27" s="22">
        <v>242.8</v>
      </c>
      <c r="J27" s="30" t="s">
        <v>109</v>
      </c>
    </row>
    <row r="28" spans="1:10" s="18" customFormat="1" ht="37.5" x14ac:dyDescent="0.2">
      <c r="A28" s="19" t="s">
        <v>37</v>
      </c>
      <c r="B28" s="20">
        <v>120</v>
      </c>
      <c r="C28" s="58"/>
      <c r="D28" s="22">
        <v>755</v>
      </c>
      <c r="E28" s="80">
        <f>SUM(F28:I28)</f>
        <v>755</v>
      </c>
      <c r="F28" s="22">
        <f>F29+F30</f>
        <v>313.5</v>
      </c>
      <c r="G28" s="22">
        <f>G29+G30</f>
        <v>189</v>
      </c>
      <c r="H28" s="22">
        <f>H29+H30</f>
        <v>189</v>
      </c>
      <c r="I28" s="22">
        <f>I29+I30</f>
        <v>63.5</v>
      </c>
      <c r="J28" s="30" t="s">
        <v>160</v>
      </c>
    </row>
    <row r="29" spans="1:10" s="18" customFormat="1" ht="36.75" customHeight="1" x14ac:dyDescent="0.2">
      <c r="A29" s="23" t="s">
        <v>166</v>
      </c>
      <c r="B29" s="24">
        <v>121</v>
      </c>
      <c r="C29" s="58"/>
      <c r="D29" s="22">
        <v>755</v>
      </c>
      <c r="E29" s="61">
        <f>F29+G29+H29+I29</f>
        <v>755</v>
      </c>
      <c r="F29" s="22">
        <v>313.5</v>
      </c>
      <c r="G29" s="22">
        <v>189</v>
      </c>
      <c r="H29" s="22">
        <v>189</v>
      </c>
      <c r="I29" s="22">
        <v>63.5</v>
      </c>
      <c r="J29" s="30"/>
    </row>
    <row r="30" spans="1:10" s="18" customFormat="1" ht="17.25" customHeight="1" x14ac:dyDescent="0.2">
      <c r="A30" s="23" t="s">
        <v>172</v>
      </c>
      <c r="B30" s="24">
        <v>122</v>
      </c>
      <c r="C30" s="58"/>
      <c r="D30" s="22"/>
      <c r="E30" s="61">
        <f t="shared" ref="E30:E34" si="0">SUM(F30:I30)</f>
        <v>0</v>
      </c>
      <c r="F30" s="22"/>
      <c r="G30" s="22"/>
      <c r="H30" s="22"/>
      <c r="I30" s="22"/>
      <c r="J30" s="30"/>
    </row>
    <row r="31" spans="1:10" s="18" customFormat="1" ht="29.25" customHeight="1" x14ac:dyDescent="0.2">
      <c r="A31" s="19" t="s">
        <v>173</v>
      </c>
      <c r="B31" s="24">
        <v>123</v>
      </c>
      <c r="C31" s="58"/>
      <c r="D31" s="22">
        <v>8.4</v>
      </c>
      <c r="E31" s="80">
        <f t="shared" si="0"/>
        <v>8.35</v>
      </c>
      <c r="F31" s="22"/>
      <c r="G31" s="22"/>
      <c r="H31" s="22">
        <v>6.3</v>
      </c>
      <c r="I31" s="22">
        <f>6.2-4.15</f>
        <v>2.0499999999999998</v>
      </c>
      <c r="J31" s="30"/>
    </row>
    <row r="32" spans="1:10" s="18" customFormat="1" x14ac:dyDescent="0.2">
      <c r="A32" s="19" t="s">
        <v>168</v>
      </c>
      <c r="B32" s="24">
        <v>124</v>
      </c>
      <c r="C32" s="58">
        <v>308.60000000000002</v>
      </c>
      <c r="D32" s="58">
        <v>115.5</v>
      </c>
      <c r="E32" s="80">
        <f t="shared" si="0"/>
        <v>115.5</v>
      </c>
      <c r="F32" s="22">
        <v>21</v>
      </c>
      <c r="G32" s="22">
        <v>31.5</v>
      </c>
      <c r="H32" s="22">
        <v>31.5</v>
      </c>
      <c r="I32" s="22">
        <v>31.5</v>
      </c>
      <c r="J32" s="51"/>
    </row>
    <row r="33" spans="1:10" s="18" customFormat="1" x14ac:dyDescent="0.2">
      <c r="A33" s="19" t="s">
        <v>117</v>
      </c>
      <c r="B33" s="24">
        <v>125</v>
      </c>
      <c r="C33" s="58">
        <v>27599.3</v>
      </c>
      <c r="D33" s="58">
        <v>26182.1</v>
      </c>
      <c r="E33" s="80">
        <f t="shared" si="0"/>
        <v>26182.1</v>
      </c>
      <c r="F33" s="22">
        <v>6865.5</v>
      </c>
      <c r="G33" s="22">
        <v>6865.5</v>
      </c>
      <c r="H33" s="22">
        <f>6865.5-760-560</f>
        <v>5545.5</v>
      </c>
      <c r="I33" s="22">
        <f>2405.9+4500-0.3</f>
        <v>6905.5999999999995</v>
      </c>
      <c r="J33" s="51"/>
    </row>
    <row r="34" spans="1:10" s="18" customFormat="1" x14ac:dyDescent="0.2">
      <c r="A34" s="19" t="s">
        <v>118</v>
      </c>
      <c r="B34" s="24">
        <v>126</v>
      </c>
      <c r="C34" s="21"/>
      <c r="D34" s="21"/>
      <c r="E34" s="80">
        <f t="shared" si="0"/>
        <v>0</v>
      </c>
      <c r="F34" s="22"/>
      <c r="G34" s="22"/>
      <c r="H34" s="22"/>
      <c r="I34" s="22"/>
      <c r="J34" s="51"/>
    </row>
    <row r="35" spans="1:10" s="77" customFormat="1" ht="45.75" customHeight="1" x14ac:dyDescent="0.2">
      <c r="A35" s="100" t="s">
        <v>38</v>
      </c>
      <c r="B35" s="101">
        <v>130</v>
      </c>
      <c r="C35" s="80">
        <f>C36+C44+C50+C51+C53+C54+C55+C60</f>
        <v>23523.300000000003</v>
      </c>
      <c r="D35" s="80">
        <f>D36+D44+D50+D51+D53+D54+D55+D60</f>
        <v>25776.399999999998</v>
      </c>
      <c r="E35" s="80">
        <f>SUM(F35:I35)</f>
        <v>25776.350000000002</v>
      </c>
      <c r="F35" s="80">
        <f>F36+F44+F50+F51+F53+F54+F55+F60</f>
        <v>7146.6</v>
      </c>
      <c r="G35" s="80">
        <f>G36+G44+G50+G51+G53+G54+G55+G60</f>
        <v>7167.2</v>
      </c>
      <c r="H35" s="80">
        <f>H36+H44+H50+H51+H53+H54+H55+H60</f>
        <v>4530.6000000000004</v>
      </c>
      <c r="I35" s="80">
        <f>I36+I44+I50+I51+I53+I54+I55+I60</f>
        <v>6931.95</v>
      </c>
      <c r="J35" s="102"/>
    </row>
    <row r="36" spans="1:10" s="103" customFormat="1" ht="41.25" customHeight="1" x14ac:dyDescent="0.2">
      <c r="A36" s="100" t="s">
        <v>39</v>
      </c>
      <c r="B36" s="79">
        <v>140</v>
      </c>
      <c r="C36" s="80">
        <f>C37+C39+C40+C42+C43</f>
        <v>2429.7000000000003</v>
      </c>
      <c r="D36" s="80">
        <f>D37+D39+D40+D42+D43+D41</f>
        <v>3776.5</v>
      </c>
      <c r="E36" s="80">
        <f>SUM(F36:I36)</f>
        <v>3776.5</v>
      </c>
      <c r="F36" s="61">
        <f>SUM(F37:F43)</f>
        <v>695</v>
      </c>
      <c r="G36" s="61">
        <f>SUM(G37:G43)</f>
        <v>1036.5</v>
      </c>
      <c r="H36" s="61">
        <f>SUM(H37:H43)</f>
        <v>708.5</v>
      </c>
      <c r="I36" s="61">
        <f>SUM(I37:I43)</f>
        <v>1336.5</v>
      </c>
      <c r="J36" s="102"/>
    </row>
    <row r="37" spans="1:10" s="25" customFormat="1" ht="51" customHeight="1" x14ac:dyDescent="0.2">
      <c r="A37" s="23" t="s">
        <v>40</v>
      </c>
      <c r="B37" s="26">
        <v>141</v>
      </c>
      <c r="C37" s="22">
        <v>1492.4</v>
      </c>
      <c r="D37" s="22">
        <v>2295</v>
      </c>
      <c r="E37" s="61">
        <f t="shared" ref="E37:E43" si="1">F37+G37+H37+I37</f>
        <v>2295</v>
      </c>
      <c r="F37" s="22">
        <v>300</v>
      </c>
      <c r="G37" s="22">
        <f>300+400</f>
        <v>700</v>
      </c>
      <c r="H37" s="22">
        <f>300+275</f>
        <v>575</v>
      </c>
      <c r="I37" s="22">
        <f>100+620</f>
        <v>720</v>
      </c>
      <c r="J37" s="28" t="s">
        <v>136</v>
      </c>
    </row>
    <row r="38" spans="1:10" s="25" customFormat="1" ht="51" customHeight="1" x14ac:dyDescent="0.2">
      <c r="A38" s="23" t="s">
        <v>121</v>
      </c>
      <c r="B38" s="26">
        <v>142</v>
      </c>
      <c r="C38" s="22"/>
      <c r="D38" s="22"/>
      <c r="E38" s="61">
        <f t="shared" si="1"/>
        <v>0</v>
      </c>
      <c r="F38" s="22"/>
      <c r="G38" s="22"/>
      <c r="H38" s="22"/>
      <c r="I38" s="22"/>
      <c r="J38" s="28"/>
    </row>
    <row r="39" spans="1:10" s="25" customFormat="1" ht="45.75" customHeight="1" x14ac:dyDescent="0.2">
      <c r="A39" s="23" t="s">
        <v>119</v>
      </c>
      <c r="B39" s="26">
        <v>143</v>
      </c>
      <c r="C39" s="58">
        <v>13.1</v>
      </c>
      <c r="D39" s="22">
        <v>40</v>
      </c>
      <c r="E39" s="81">
        <f t="shared" si="1"/>
        <v>40</v>
      </c>
      <c r="F39" s="61">
        <v>10</v>
      </c>
      <c r="G39" s="61">
        <v>10</v>
      </c>
      <c r="H39" s="61">
        <v>10</v>
      </c>
      <c r="I39" s="61">
        <v>10</v>
      </c>
      <c r="J39" s="30" t="s">
        <v>134</v>
      </c>
    </row>
    <row r="40" spans="1:10" s="25" customFormat="1" ht="46.5" customHeight="1" x14ac:dyDescent="0.2">
      <c r="A40" s="23" t="s">
        <v>122</v>
      </c>
      <c r="B40" s="26">
        <v>144</v>
      </c>
      <c r="C40" s="58">
        <v>557.4</v>
      </c>
      <c r="D40" s="22">
        <v>704</v>
      </c>
      <c r="E40" s="61">
        <f t="shared" si="1"/>
        <v>704</v>
      </c>
      <c r="F40" s="61">
        <f>166+60</f>
        <v>226</v>
      </c>
      <c r="G40" s="61">
        <v>166</v>
      </c>
      <c r="H40" s="61">
        <f>166-150</f>
        <v>16</v>
      </c>
      <c r="I40" s="61">
        <f>66+230</f>
        <v>296</v>
      </c>
      <c r="J40" s="27" t="s">
        <v>137</v>
      </c>
    </row>
    <row r="41" spans="1:10" s="25" customFormat="1" ht="34.5" customHeight="1" x14ac:dyDescent="0.2">
      <c r="A41" s="23" t="s">
        <v>123</v>
      </c>
      <c r="B41" s="26">
        <v>145</v>
      </c>
      <c r="C41" s="58"/>
      <c r="D41" s="22">
        <v>20</v>
      </c>
      <c r="E41" s="61">
        <f t="shared" si="1"/>
        <v>20</v>
      </c>
      <c r="F41" s="61">
        <v>5</v>
      </c>
      <c r="G41" s="61">
        <v>5</v>
      </c>
      <c r="H41" s="61">
        <v>5</v>
      </c>
      <c r="I41" s="61">
        <v>5</v>
      </c>
      <c r="J41" s="27"/>
    </row>
    <row r="42" spans="1:10" s="25" customFormat="1" ht="37.5" customHeight="1" x14ac:dyDescent="0.2">
      <c r="A42" s="23" t="s">
        <v>124</v>
      </c>
      <c r="B42" s="26">
        <v>146</v>
      </c>
      <c r="C42" s="58">
        <v>75.5</v>
      </c>
      <c r="D42" s="22">
        <v>68</v>
      </c>
      <c r="E42" s="61">
        <f t="shared" si="1"/>
        <v>68</v>
      </c>
      <c r="F42" s="61">
        <v>17</v>
      </c>
      <c r="G42" s="61">
        <v>17</v>
      </c>
      <c r="H42" s="61">
        <v>17</v>
      </c>
      <c r="I42" s="61">
        <v>17</v>
      </c>
      <c r="J42" s="27"/>
    </row>
    <row r="43" spans="1:10" s="25" customFormat="1" ht="37.5" customHeight="1" x14ac:dyDescent="0.2">
      <c r="A43" s="19" t="s">
        <v>41</v>
      </c>
      <c r="B43" s="13">
        <v>150</v>
      </c>
      <c r="C43" s="58">
        <v>291.3</v>
      </c>
      <c r="D43" s="48">
        <v>649.5</v>
      </c>
      <c r="E43" s="61">
        <f t="shared" si="1"/>
        <v>649.5</v>
      </c>
      <c r="F43" s="61">
        <f>134+3</f>
        <v>137</v>
      </c>
      <c r="G43" s="61">
        <f>134+4.5</f>
        <v>138.5</v>
      </c>
      <c r="H43" s="61">
        <f>134+4.5-53</f>
        <v>85.5</v>
      </c>
      <c r="I43" s="61">
        <f>34+4.5+250</f>
        <v>288.5</v>
      </c>
      <c r="J43" s="34"/>
    </row>
    <row r="44" spans="1:10" s="103" customFormat="1" ht="34.5" customHeight="1" x14ac:dyDescent="0.2">
      <c r="A44" s="100" t="s">
        <v>42</v>
      </c>
      <c r="B44" s="79">
        <v>160</v>
      </c>
      <c r="C44" s="104">
        <f>C46+C48+C49</f>
        <v>613.19999999999993</v>
      </c>
      <c r="D44" s="80">
        <f>D46+D48+D49</f>
        <v>898.4</v>
      </c>
      <c r="E44" s="80">
        <f>SUM(E45:E49)</f>
        <v>898.4</v>
      </c>
      <c r="F44" s="61">
        <f>SUM(F45:F49)</f>
        <v>200.1</v>
      </c>
      <c r="G44" s="61">
        <f>SUM(G45:G49)</f>
        <v>270.2</v>
      </c>
      <c r="H44" s="61">
        <f>SUM(H45:H49)</f>
        <v>185.3</v>
      </c>
      <c r="I44" s="61">
        <f>SUM(I45:I49)</f>
        <v>242.8</v>
      </c>
      <c r="J44" s="102"/>
    </row>
    <row r="45" spans="1:10" s="103" customFormat="1" ht="34.5" customHeight="1" x14ac:dyDescent="0.2">
      <c r="A45" s="105" t="s">
        <v>120</v>
      </c>
      <c r="B45" s="79">
        <v>161</v>
      </c>
      <c r="C45" s="87"/>
      <c r="D45" s="80"/>
      <c r="E45" s="61">
        <f>F45+G45+H45+I45</f>
        <v>0</v>
      </c>
      <c r="F45" s="61"/>
      <c r="G45" s="61"/>
      <c r="H45" s="61">
        <v>0</v>
      </c>
      <c r="I45" s="61">
        <v>0</v>
      </c>
      <c r="J45" s="102"/>
    </row>
    <row r="46" spans="1:10" s="25" customFormat="1" ht="36" customHeight="1" x14ac:dyDescent="0.2">
      <c r="A46" s="23" t="s">
        <v>43</v>
      </c>
      <c r="B46" s="26">
        <v>162</v>
      </c>
      <c r="C46" s="58">
        <v>240.2</v>
      </c>
      <c r="D46" s="22">
        <v>426.6</v>
      </c>
      <c r="E46" s="61">
        <f>F46+G46+H46+I46</f>
        <v>426.6</v>
      </c>
      <c r="F46" s="22">
        <v>76.8</v>
      </c>
      <c r="G46" s="22">
        <f>76.8+66.2</f>
        <v>143</v>
      </c>
      <c r="H46" s="22">
        <f>76.7-66.2+53.4</f>
        <v>63.9</v>
      </c>
      <c r="I46" s="22">
        <v>142.9</v>
      </c>
      <c r="J46" s="51"/>
    </row>
    <row r="47" spans="1:10" s="25" customFormat="1" ht="40.5" customHeight="1" x14ac:dyDescent="0.2">
      <c r="A47" s="23" t="s">
        <v>44</v>
      </c>
      <c r="B47" s="26">
        <v>163</v>
      </c>
      <c r="C47" s="58"/>
      <c r="D47" s="22"/>
      <c r="E47" s="61">
        <f>F47+G47+H47+I47</f>
        <v>0</v>
      </c>
      <c r="F47" s="22"/>
      <c r="G47" s="22"/>
      <c r="H47" s="22"/>
      <c r="I47" s="22"/>
      <c r="J47" s="51"/>
    </row>
    <row r="48" spans="1:10" s="25" customFormat="1" ht="36.950000000000003" customHeight="1" x14ac:dyDescent="0.2">
      <c r="A48" s="23" t="s">
        <v>45</v>
      </c>
      <c r="B48" s="26">
        <v>164</v>
      </c>
      <c r="C48" s="58">
        <v>305.89999999999998</v>
      </c>
      <c r="D48" s="22">
        <v>368.9</v>
      </c>
      <c r="E48" s="61">
        <f>F48+G48+H48+I48</f>
        <v>368.9</v>
      </c>
      <c r="F48" s="22">
        <v>123.3</v>
      </c>
      <c r="G48" s="22">
        <f>122.7+4.5</f>
        <v>127.2</v>
      </c>
      <c r="H48" s="54">
        <f>122.9-4.5</f>
        <v>118.4</v>
      </c>
      <c r="I48" s="22"/>
      <c r="J48" s="53"/>
    </row>
    <row r="49" spans="1:10" s="25" customFormat="1" ht="20.100000000000001" customHeight="1" x14ac:dyDescent="0.2">
      <c r="A49" s="23" t="s">
        <v>46</v>
      </c>
      <c r="B49" s="26">
        <v>165</v>
      </c>
      <c r="C49" s="58">
        <v>67.099999999999994</v>
      </c>
      <c r="D49" s="22">
        <v>102.9</v>
      </c>
      <c r="E49" s="61">
        <f>SUM(F49:I49)</f>
        <v>102.9</v>
      </c>
      <c r="F49" s="22"/>
      <c r="G49" s="22"/>
      <c r="H49" s="22">
        <v>3</v>
      </c>
      <c r="I49" s="22">
        <v>99.9</v>
      </c>
      <c r="J49" s="51"/>
    </row>
    <row r="50" spans="1:10" s="103" customFormat="1" ht="20.100000000000001" customHeight="1" x14ac:dyDescent="0.2">
      <c r="A50" s="100" t="s">
        <v>47</v>
      </c>
      <c r="B50" s="79">
        <v>170</v>
      </c>
      <c r="C50" s="104">
        <v>15054.2</v>
      </c>
      <c r="D50" s="80">
        <v>13224.7</v>
      </c>
      <c r="E50" s="80">
        <f>SUM(F50:I50)</f>
        <v>13224.7</v>
      </c>
      <c r="F50" s="61">
        <f>4550.9+14.8</f>
        <v>4565.7</v>
      </c>
      <c r="G50" s="61">
        <f>4550.9+22.1-330</f>
        <v>4243</v>
      </c>
      <c r="H50" s="61">
        <f>4550.9+22.1-1870-460</f>
        <v>2243</v>
      </c>
      <c r="I50" s="61">
        <f>1350.9+22.1+800</f>
        <v>2173</v>
      </c>
      <c r="J50" s="102"/>
    </row>
    <row r="51" spans="1:10" s="103" customFormat="1" ht="20.100000000000001" customHeight="1" x14ac:dyDescent="0.2">
      <c r="A51" s="100" t="s">
        <v>48</v>
      </c>
      <c r="B51" s="79">
        <v>180</v>
      </c>
      <c r="C51" s="104">
        <v>3221.4</v>
      </c>
      <c r="D51" s="80">
        <v>2943.5</v>
      </c>
      <c r="E51" s="80">
        <f>SUM(F51:I51)</f>
        <v>2943.45</v>
      </c>
      <c r="F51" s="61">
        <f>1000+3.2</f>
        <v>1003.2</v>
      </c>
      <c r="G51" s="61">
        <f>1000+4.9-70</f>
        <v>934.9</v>
      </c>
      <c r="H51" s="61">
        <f>1000+4.9-400-100</f>
        <v>504.9</v>
      </c>
      <c r="I51" s="61">
        <f>500+4.9-0.3-4.15</f>
        <v>500.45</v>
      </c>
      <c r="J51" s="102"/>
    </row>
    <row r="52" spans="1:10" s="25" customFormat="1" ht="20.100000000000001" customHeight="1" x14ac:dyDescent="0.2">
      <c r="A52" s="19" t="s">
        <v>49</v>
      </c>
      <c r="B52" s="13">
        <v>190</v>
      </c>
      <c r="C52" s="21"/>
      <c r="D52" s="22">
        <v>755</v>
      </c>
      <c r="E52" s="80">
        <f>SUM(F52:I52)</f>
        <v>755</v>
      </c>
      <c r="F52" s="22">
        <v>313.5</v>
      </c>
      <c r="G52" s="22">
        <v>189</v>
      </c>
      <c r="H52" s="22">
        <v>189</v>
      </c>
      <c r="I52" s="22">
        <v>63.5</v>
      </c>
      <c r="J52" s="51"/>
    </row>
    <row r="53" spans="1:10" s="25" customFormat="1" ht="93.75" customHeight="1" x14ac:dyDescent="0.2">
      <c r="A53" s="19" t="s">
        <v>50</v>
      </c>
      <c r="B53" s="13">
        <v>200</v>
      </c>
      <c r="C53" s="60">
        <v>561.6</v>
      </c>
      <c r="D53" s="48">
        <v>806</v>
      </c>
      <c r="E53" s="80">
        <f t="shared" ref="E53:E59" si="2">F53+G53+H53+I53</f>
        <v>806</v>
      </c>
      <c r="F53" s="61">
        <v>239</v>
      </c>
      <c r="G53" s="61">
        <v>239</v>
      </c>
      <c r="H53" s="61">
        <f>239-200</f>
        <v>39</v>
      </c>
      <c r="I53" s="61">
        <f>139+150</f>
        <v>289</v>
      </c>
      <c r="J53" s="28" t="s">
        <v>135</v>
      </c>
    </row>
    <row r="54" spans="1:10" s="25" customFormat="1" ht="20.100000000000001" customHeight="1" x14ac:dyDescent="0.2">
      <c r="A54" s="19" t="s">
        <v>51</v>
      </c>
      <c r="B54" s="13">
        <v>210</v>
      </c>
      <c r="C54" s="21"/>
      <c r="D54" s="48"/>
      <c r="E54" s="82">
        <f t="shared" si="2"/>
        <v>0</v>
      </c>
      <c r="F54" s="56"/>
      <c r="G54" s="56"/>
      <c r="H54" s="56"/>
      <c r="I54" s="56"/>
      <c r="J54" s="51"/>
    </row>
    <row r="55" spans="1:10" s="25" customFormat="1" ht="44.25" customHeight="1" x14ac:dyDescent="0.2">
      <c r="A55" s="19" t="s">
        <v>52</v>
      </c>
      <c r="B55" s="13">
        <v>220</v>
      </c>
      <c r="C55" s="68">
        <f>C58</f>
        <v>3</v>
      </c>
      <c r="D55" s="48"/>
      <c r="E55" s="80">
        <f t="shared" si="2"/>
        <v>0</v>
      </c>
      <c r="F55" s="22">
        <f>F56+F57+F58+F59</f>
        <v>0</v>
      </c>
      <c r="G55" s="22">
        <f>G56+G57+G58+G59</f>
        <v>0</v>
      </c>
      <c r="H55" s="22">
        <f>H56+H57+H58+H59</f>
        <v>0</v>
      </c>
      <c r="I55" s="22">
        <f>I56+I57+I58+I59</f>
        <v>0</v>
      </c>
      <c r="J55" s="55"/>
    </row>
    <row r="56" spans="1:10" s="25" customFormat="1" ht="26.25" customHeight="1" x14ac:dyDescent="0.2">
      <c r="A56" s="23" t="s">
        <v>125</v>
      </c>
      <c r="B56" s="26">
        <v>221</v>
      </c>
      <c r="C56" s="21"/>
      <c r="D56" s="48"/>
      <c r="E56" s="61">
        <f t="shared" si="2"/>
        <v>0</v>
      </c>
      <c r="F56" s="22"/>
      <c r="G56" s="22"/>
      <c r="H56" s="22"/>
      <c r="I56" s="22"/>
      <c r="J56" s="55"/>
    </row>
    <row r="57" spans="1:10" s="25" customFormat="1" ht="20.25" customHeight="1" x14ac:dyDescent="0.2">
      <c r="A57" s="23" t="s">
        <v>126</v>
      </c>
      <c r="B57" s="26">
        <v>222</v>
      </c>
      <c r="C57" s="21"/>
      <c r="D57" s="48"/>
      <c r="E57" s="61">
        <f t="shared" si="2"/>
        <v>0</v>
      </c>
      <c r="F57" s="22"/>
      <c r="G57" s="22"/>
      <c r="H57" s="22"/>
      <c r="I57" s="22"/>
      <c r="J57" s="55"/>
    </row>
    <row r="58" spans="1:10" s="25" customFormat="1" ht="30" customHeight="1" x14ac:dyDescent="0.2">
      <c r="A58" s="23" t="s">
        <v>127</v>
      </c>
      <c r="B58" s="26">
        <v>223</v>
      </c>
      <c r="C58" s="68">
        <v>3</v>
      </c>
      <c r="D58" s="48"/>
      <c r="E58" s="61">
        <f t="shared" si="2"/>
        <v>0</v>
      </c>
      <c r="F58" s="22">
        <v>0</v>
      </c>
      <c r="G58" s="22"/>
      <c r="H58" s="22"/>
      <c r="I58" s="22"/>
      <c r="J58" s="55"/>
    </row>
    <row r="59" spans="1:10" s="25" customFormat="1" ht="24" customHeight="1" x14ac:dyDescent="0.2">
      <c r="A59" s="23" t="s">
        <v>128</v>
      </c>
      <c r="B59" s="26">
        <v>224</v>
      </c>
      <c r="C59" s="21"/>
      <c r="D59" s="48"/>
      <c r="E59" s="61">
        <f t="shared" si="2"/>
        <v>0</v>
      </c>
      <c r="F59" s="22">
        <v>0</v>
      </c>
      <c r="G59" s="22"/>
      <c r="H59" s="22"/>
      <c r="I59" s="22"/>
      <c r="J59" s="55"/>
    </row>
    <row r="60" spans="1:10" s="77" customFormat="1" ht="33" customHeight="1" x14ac:dyDescent="0.2">
      <c r="A60" s="100" t="s">
        <v>53</v>
      </c>
      <c r="B60" s="101">
        <v>230</v>
      </c>
      <c r="C60" s="104">
        <f>SUM(C61:C72,C73)</f>
        <v>1640.1999999999998</v>
      </c>
      <c r="D60" s="80">
        <f>SUM(D61:D72,D73)</f>
        <v>4127.3</v>
      </c>
      <c r="E60" s="80">
        <f>SUM(F60:I60)</f>
        <v>4127.3</v>
      </c>
      <c r="F60" s="61">
        <f>F66+F67</f>
        <v>443.6</v>
      </c>
      <c r="G60" s="61">
        <f t="shared" ref="G60:I60" si="3">G66+G67</f>
        <v>443.6</v>
      </c>
      <c r="H60" s="61">
        <f t="shared" si="3"/>
        <v>849.90000000000009</v>
      </c>
      <c r="I60" s="61">
        <f t="shared" si="3"/>
        <v>2390.1999999999998</v>
      </c>
      <c r="J60" s="102"/>
    </row>
    <row r="61" spans="1:10" ht="38.25" customHeight="1" x14ac:dyDescent="0.2">
      <c r="A61" s="23" t="s">
        <v>54</v>
      </c>
      <c r="B61" s="24">
        <v>231</v>
      </c>
      <c r="C61" s="21"/>
      <c r="D61" s="22"/>
      <c r="E61" s="61">
        <f>F61+G61+H61+I61</f>
        <v>0</v>
      </c>
      <c r="F61" s="22"/>
      <c r="G61" s="22"/>
      <c r="H61" s="22"/>
      <c r="I61" s="22"/>
      <c r="J61" s="28"/>
    </row>
    <row r="62" spans="1:10" ht="42.75" customHeight="1" x14ac:dyDescent="0.2">
      <c r="A62" s="23" t="s">
        <v>55</v>
      </c>
      <c r="B62" s="24">
        <v>232</v>
      </c>
      <c r="C62" s="21"/>
      <c r="D62" s="22"/>
      <c r="E62" s="61">
        <f>SUM(F62:I62)</f>
        <v>0</v>
      </c>
      <c r="F62" s="22"/>
      <c r="G62" s="22"/>
      <c r="H62" s="22"/>
      <c r="I62" s="22"/>
      <c r="J62" s="30"/>
    </row>
    <row r="63" spans="1:10" ht="56.25" customHeight="1" x14ac:dyDescent="0.2">
      <c r="A63" s="23" t="s">
        <v>56</v>
      </c>
      <c r="B63" s="24">
        <v>233</v>
      </c>
      <c r="C63" s="21"/>
      <c r="D63" s="22"/>
      <c r="E63" s="61">
        <f>F63+G63+H63+I63</f>
        <v>0</v>
      </c>
      <c r="F63" s="22"/>
      <c r="G63" s="22"/>
      <c r="H63" s="22"/>
      <c r="I63" s="22"/>
      <c r="J63" s="30"/>
    </row>
    <row r="64" spans="1:10" s="25" customFormat="1" ht="20.100000000000001" customHeight="1" x14ac:dyDescent="0.2">
      <c r="A64" s="23" t="s">
        <v>57</v>
      </c>
      <c r="B64" s="24">
        <v>234</v>
      </c>
      <c r="C64" s="21"/>
      <c r="D64" s="22"/>
      <c r="E64" s="61">
        <f>F64+G64+H64+I64</f>
        <v>0</v>
      </c>
      <c r="F64" s="22"/>
      <c r="G64" s="22"/>
      <c r="H64" s="22"/>
      <c r="I64" s="22"/>
      <c r="J64" s="30"/>
    </row>
    <row r="65" spans="1:10" s="25" customFormat="1" ht="29.25" customHeight="1" x14ac:dyDescent="0.2">
      <c r="A65" s="23" t="s">
        <v>58</v>
      </c>
      <c r="B65" s="24">
        <v>235</v>
      </c>
      <c r="C65" s="21"/>
      <c r="D65" s="22"/>
      <c r="E65" s="61">
        <f>F65+G65+H65+I65</f>
        <v>0</v>
      </c>
      <c r="F65" s="22"/>
      <c r="G65" s="22"/>
      <c r="H65" s="22"/>
      <c r="I65" s="22"/>
      <c r="J65" s="30"/>
    </row>
    <row r="66" spans="1:10" s="25" customFormat="1" ht="20.100000000000001" customHeight="1" x14ac:dyDescent="0.2">
      <c r="A66" s="23" t="s">
        <v>59</v>
      </c>
      <c r="B66" s="24">
        <v>236</v>
      </c>
      <c r="C66" s="58">
        <v>1330.8</v>
      </c>
      <c r="D66" s="22">
        <v>3357.3</v>
      </c>
      <c r="E66" s="61">
        <f>SUM(F66:I66)</f>
        <v>3357.3</v>
      </c>
      <c r="F66" s="61">
        <v>363.6</v>
      </c>
      <c r="G66" s="61">
        <v>363.6</v>
      </c>
      <c r="H66" s="61">
        <f>363.6+306.3</f>
        <v>669.90000000000009</v>
      </c>
      <c r="I66" s="61">
        <f>154+6.2+1800</f>
        <v>1960.2</v>
      </c>
      <c r="J66" s="51"/>
    </row>
    <row r="67" spans="1:10" s="25" customFormat="1" ht="20.100000000000001" customHeight="1" x14ac:dyDescent="0.2">
      <c r="A67" s="23" t="s">
        <v>60</v>
      </c>
      <c r="B67" s="24">
        <v>237</v>
      </c>
      <c r="C67" s="58">
        <v>309.39999999999998</v>
      </c>
      <c r="D67" s="22">
        <v>770</v>
      </c>
      <c r="E67" s="61">
        <f>SUM(F67:I67)</f>
        <v>770</v>
      </c>
      <c r="F67" s="61">
        <v>80</v>
      </c>
      <c r="G67" s="61">
        <v>80</v>
      </c>
      <c r="H67" s="61">
        <f>80+100</f>
        <v>180</v>
      </c>
      <c r="I67" s="61">
        <f>30+400</f>
        <v>430</v>
      </c>
      <c r="J67" s="51"/>
    </row>
    <row r="68" spans="1:10" s="25" customFormat="1" ht="38.25" customHeight="1" x14ac:dyDescent="0.2">
      <c r="A68" s="23" t="s">
        <v>61</v>
      </c>
      <c r="B68" s="24">
        <v>238</v>
      </c>
      <c r="C68" s="21"/>
      <c r="D68" s="22"/>
      <c r="E68" s="61">
        <f>F68+G68+H68+I68</f>
        <v>0</v>
      </c>
      <c r="F68" s="22"/>
      <c r="G68" s="22"/>
      <c r="H68" s="22"/>
      <c r="I68" s="22"/>
      <c r="J68" s="30"/>
    </row>
    <row r="69" spans="1:10" s="25" customFormat="1" ht="20.100000000000001" customHeight="1" x14ac:dyDescent="0.2">
      <c r="A69" s="23" t="s">
        <v>62</v>
      </c>
      <c r="B69" s="24">
        <v>239</v>
      </c>
      <c r="C69" s="21"/>
      <c r="D69" s="22"/>
      <c r="E69" s="61"/>
      <c r="F69" s="22"/>
      <c r="G69" s="22"/>
      <c r="H69" s="22"/>
      <c r="I69" s="22"/>
      <c r="J69" s="51"/>
    </row>
    <row r="70" spans="1:10" s="25" customFormat="1" ht="20.25" customHeight="1" x14ac:dyDescent="0.2">
      <c r="A70" s="19" t="s">
        <v>63</v>
      </c>
      <c r="B70" s="20">
        <v>250</v>
      </c>
      <c r="C70" s="21"/>
      <c r="D70" s="22"/>
      <c r="E70" s="83">
        <f>F70+G70+H70+I70</f>
        <v>0</v>
      </c>
      <c r="F70" s="56">
        <v>0</v>
      </c>
      <c r="G70" s="56"/>
      <c r="H70" s="56"/>
      <c r="I70" s="56"/>
      <c r="J70" s="51"/>
    </row>
    <row r="71" spans="1:10" s="25" customFormat="1" ht="20.100000000000001" customHeight="1" x14ac:dyDescent="0.2">
      <c r="A71" s="19" t="s">
        <v>64</v>
      </c>
      <c r="B71" s="20">
        <v>260</v>
      </c>
      <c r="C71" s="21"/>
      <c r="D71" s="22"/>
      <c r="E71" s="61"/>
      <c r="F71" s="22"/>
      <c r="G71" s="22"/>
      <c r="H71" s="22"/>
      <c r="I71" s="22"/>
      <c r="J71" s="51"/>
    </row>
    <row r="72" spans="1:10" s="25" customFormat="1" ht="37.5" customHeight="1" x14ac:dyDescent="0.2">
      <c r="A72" s="19" t="s">
        <v>65</v>
      </c>
      <c r="B72" s="20">
        <v>270</v>
      </c>
      <c r="C72" s="21"/>
      <c r="D72" s="22"/>
      <c r="E72" s="84" t="s">
        <v>110</v>
      </c>
      <c r="F72" s="22">
        <v>0</v>
      </c>
      <c r="G72" s="29"/>
      <c r="H72" s="29"/>
      <c r="I72" s="29"/>
      <c r="J72" s="34"/>
    </row>
    <row r="73" spans="1:10" s="25" customFormat="1" ht="43.5" customHeight="1" x14ac:dyDescent="0.2">
      <c r="A73" s="19" t="s">
        <v>66</v>
      </c>
      <c r="B73" s="20">
        <v>280</v>
      </c>
      <c r="C73" s="21"/>
      <c r="D73" s="22"/>
      <c r="E73" s="61">
        <f>F73+G73+H73+I73</f>
        <v>0</v>
      </c>
      <c r="F73" s="22"/>
      <c r="G73" s="22"/>
      <c r="H73" s="22"/>
      <c r="I73" s="22"/>
      <c r="J73" s="30"/>
    </row>
    <row r="74" spans="1:10" s="103" customFormat="1" ht="19.5" customHeight="1" x14ac:dyDescent="0.2">
      <c r="A74" s="100" t="s">
        <v>67</v>
      </c>
      <c r="B74" s="101">
        <v>290</v>
      </c>
      <c r="C74" s="87"/>
      <c r="D74" s="87"/>
      <c r="E74" s="80">
        <f>SUM(F74:I74)</f>
        <v>0</v>
      </c>
      <c r="F74" s="61"/>
      <c r="G74" s="61"/>
      <c r="H74" s="61"/>
      <c r="I74" s="61"/>
      <c r="J74" s="102"/>
    </row>
    <row r="75" spans="1:10" s="25" customFormat="1" ht="20.100000000000001" customHeight="1" x14ac:dyDescent="0.2">
      <c r="A75" s="23" t="s">
        <v>68</v>
      </c>
      <c r="B75" s="31">
        <v>291</v>
      </c>
      <c r="C75" s="21"/>
      <c r="D75" s="21"/>
      <c r="E75" s="61">
        <f>SUM(F75:I75)</f>
        <v>0</v>
      </c>
      <c r="F75" s="22"/>
      <c r="G75" s="22"/>
      <c r="H75" s="22"/>
      <c r="I75" s="22"/>
      <c r="J75" s="51"/>
    </row>
    <row r="76" spans="1:10" s="25" customFormat="1" ht="20.100000000000001" customHeight="1" x14ac:dyDescent="0.2">
      <c r="A76" s="23" t="s">
        <v>69</v>
      </c>
      <c r="B76" s="31">
        <v>292</v>
      </c>
      <c r="C76" s="21"/>
      <c r="D76" s="21"/>
      <c r="E76" s="61">
        <f>SUM(F76:I76)</f>
        <v>0</v>
      </c>
      <c r="F76" s="21"/>
      <c r="G76" s="21"/>
      <c r="H76" s="22"/>
      <c r="I76" s="22"/>
      <c r="J76" s="51"/>
    </row>
    <row r="77" spans="1:10" s="25" customFormat="1" ht="35.1" customHeight="1" x14ac:dyDescent="0.2">
      <c r="A77" s="19" t="s">
        <v>70</v>
      </c>
      <c r="B77" s="6">
        <v>300</v>
      </c>
      <c r="C77" s="21"/>
      <c r="D77" s="21"/>
      <c r="E77" s="80">
        <f>F77+G77+H77+I77</f>
        <v>0</v>
      </c>
      <c r="F77" s="47"/>
      <c r="G77" s="47"/>
      <c r="H77" s="47"/>
      <c r="I77" s="47"/>
      <c r="J77" s="22"/>
    </row>
    <row r="78" spans="1:10" s="25" customFormat="1" ht="20.100000000000001" customHeight="1" x14ac:dyDescent="0.2">
      <c r="A78" s="119" t="s">
        <v>71</v>
      </c>
      <c r="B78" s="119"/>
      <c r="C78" s="119"/>
      <c r="D78" s="119"/>
      <c r="E78" s="119"/>
      <c r="F78" s="119"/>
      <c r="G78" s="119"/>
      <c r="H78" s="119"/>
      <c r="I78" s="119"/>
      <c r="J78" s="51"/>
    </row>
    <row r="79" spans="1:10" s="25" customFormat="1" ht="20.100000000000001" customHeight="1" x14ac:dyDescent="0.2">
      <c r="A79" s="19" t="s">
        <v>72</v>
      </c>
      <c r="B79" s="6">
        <v>400</v>
      </c>
      <c r="C79" s="22">
        <f>C36+C44</f>
        <v>3042.9</v>
      </c>
      <c r="D79" s="22">
        <f>D36+D44</f>
        <v>4674.8999999999996</v>
      </c>
      <c r="E79" s="61">
        <f t="shared" ref="E79:E85" si="4">SUM(F79:I79)</f>
        <v>4674.9000000000005</v>
      </c>
      <c r="F79" s="22">
        <f>F36+F44</f>
        <v>895.1</v>
      </c>
      <c r="G79" s="22">
        <f>G36+G44</f>
        <v>1306.7</v>
      </c>
      <c r="H79" s="22">
        <f>H36+H44</f>
        <v>893.8</v>
      </c>
      <c r="I79" s="22">
        <f>I36+I44</f>
        <v>1579.3</v>
      </c>
      <c r="J79" s="51"/>
    </row>
    <row r="80" spans="1:10" s="25" customFormat="1" ht="20.100000000000001" customHeight="1" x14ac:dyDescent="0.2">
      <c r="A80" s="19" t="s">
        <v>47</v>
      </c>
      <c r="B80" s="6">
        <v>410</v>
      </c>
      <c r="C80" s="22">
        <f t="shared" ref="C80:D80" si="5">C50+C66</f>
        <v>16385</v>
      </c>
      <c r="D80" s="22">
        <f t="shared" si="5"/>
        <v>16582</v>
      </c>
      <c r="E80" s="61">
        <f t="shared" si="4"/>
        <v>16582</v>
      </c>
      <c r="F80" s="22">
        <f t="shared" ref="F80:I81" si="6">F50+F66</f>
        <v>4929.3</v>
      </c>
      <c r="G80" s="22">
        <f t="shared" si="6"/>
        <v>4606.6000000000004</v>
      </c>
      <c r="H80" s="22">
        <f t="shared" si="6"/>
        <v>2912.9</v>
      </c>
      <c r="I80" s="22">
        <f t="shared" si="6"/>
        <v>4133.2</v>
      </c>
      <c r="J80" s="51"/>
    </row>
    <row r="81" spans="1:10" s="25" customFormat="1" ht="20.100000000000001" customHeight="1" x14ac:dyDescent="0.2">
      <c r="A81" s="19" t="s">
        <v>48</v>
      </c>
      <c r="B81" s="6">
        <v>420</v>
      </c>
      <c r="C81" s="22">
        <f t="shared" ref="C81:D81" si="7">C51+C67</f>
        <v>3530.8</v>
      </c>
      <c r="D81" s="22">
        <f t="shared" si="7"/>
        <v>3713.5</v>
      </c>
      <c r="E81" s="61">
        <f t="shared" si="4"/>
        <v>3713.45</v>
      </c>
      <c r="F81" s="22">
        <f t="shared" si="6"/>
        <v>1083.2</v>
      </c>
      <c r="G81" s="22">
        <f t="shared" si="6"/>
        <v>1014.9</v>
      </c>
      <c r="H81" s="22">
        <f t="shared" si="6"/>
        <v>684.9</v>
      </c>
      <c r="I81" s="22">
        <f t="shared" si="6"/>
        <v>930.45</v>
      </c>
      <c r="J81" s="51"/>
    </row>
    <row r="82" spans="1:10" s="25" customFormat="1" ht="20.100000000000001" customHeight="1" x14ac:dyDescent="0.2">
      <c r="A82" s="19" t="s">
        <v>49</v>
      </c>
      <c r="B82" s="6">
        <v>430</v>
      </c>
      <c r="C82" s="22">
        <f>C52</f>
        <v>0</v>
      </c>
      <c r="D82" s="22">
        <f>D52</f>
        <v>755</v>
      </c>
      <c r="E82" s="61">
        <f t="shared" si="4"/>
        <v>755</v>
      </c>
      <c r="F82" s="22">
        <f>F52</f>
        <v>313.5</v>
      </c>
      <c r="G82" s="22">
        <f>G52</f>
        <v>189</v>
      </c>
      <c r="H82" s="22">
        <f>H52</f>
        <v>189</v>
      </c>
      <c r="I82" s="22">
        <f>I52</f>
        <v>63.5</v>
      </c>
      <c r="J82" s="51"/>
    </row>
    <row r="83" spans="1:10" s="25" customFormat="1" ht="20.100000000000001" customHeight="1" x14ac:dyDescent="0.2">
      <c r="A83" s="19" t="s">
        <v>51</v>
      </c>
      <c r="B83" s="6">
        <v>440</v>
      </c>
      <c r="C83" s="37">
        <f>C70+C54</f>
        <v>0</v>
      </c>
      <c r="D83" s="37">
        <f>D70+D54</f>
        <v>0</v>
      </c>
      <c r="E83" s="61">
        <f t="shared" si="4"/>
        <v>0</v>
      </c>
      <c r="F83" s="37">
        <f>F70+F54</f>
        <v>0</v>
      </c>
      <c r="G83" s="37">
        <f>G70+G54</f>
        <v>0</v>
      </c>
      <c r="H83" s="37">
        <f>H70+H54</f>
        <v>0</v>
      </c>
      <c r="I83" s="37">
        <f>I70+I54</f>
        <v>0</v>
      </c>
      <c r="J83" s="51"/>
    </row>
    <row r="84" spans="1:10" s="25" customFormat="1" ht="20.100000000000001" customHeight="1" x14ac:dyDescent="0.2">
      <c r="A84" s="19" t="s">
        <v>73</v>
      </c>
      <c r="B84" s="6">
        <v>450</v>
      </c>
      <c r="C84" s="22">
        <f>C44+C53+C55+C60+C77-C66-C67-C70-C44</f>
        <v>564.60000000000025</v>
      </c>
      <c r="D84" s="22">
        <f>D44+D53+D55+D60+D77-D66-D67-D70-D44</f>
        <v>806.00000000000057</v>
      </c>
      <c r="E84" s="61">
        <f t="shared" si="4"/>
        <v>806</v>
      </c>
      <c r="F84" s="22">
        <f>F44+F53+F55+F60+F77-F66-F67-F70-F44</f>
        <v>239.00000000000003</v>
      </c>
      <c r="G84" s="22">
        <f>G44+G53+G55+G60+G77-G66-G67-G70-G44</f>
        <v>238.99999999999994</v>
      </c>
      <c r="H84" s="22">
        <f>H44+H53+H55+H60+H77-H66-H67-H70-H44</f>
        <v>38.999999999999943</v>
      </c>
      <c r="I84" s="22">
        <f>I44+I53+I55+I60+I77-I66-I67-I70-I44</f>
        <v>288.99999999999994</v>
      </c>
      <c r="J84" s="51"/>
    </row>
    <row r="85" spans="1:10" s="25" customFormat="1" ht="20.100000000000001" customHeight="1" x14ac:dyDescent="0.2">
      <c r="A85" s="19" t="s">
        <v>74</v>
      </c>
      <c r="B85" s="6">
        <v>460</v>
      </c>
      <c r="C85" s="48">
        <f>SUM(C79:C84)</f>
        <v>23523.3</v>
      </c>
      <c r="D85" s="48">
        <f>SUM(D79:D84)</f>
        <v>26531.4</v>
      </c>
      <c r="E85" s="80">
        <f t="shared" si="4"/>
        <v>26531.35</v>
      </c>
      <c r="F85" s="22">
        <f>SUM(F79:F84)</f>
        <v>7460.1</v>
      </c>
      <c r="G85" s="22">
        <f>SUM(G79:G84)</f>
        <v>7356.2</v>
      </c>
      <c r="H85" s="22">
        <f>SUM(H79:H84)</f>
        <v>4719.5999999999995</v>
      </c>
      <c r="I85" s="22">
        <f>SUM(I79:I84)</f>
        <v>6995.45</v>
      </c>
      <c r="J85" s="51"/>
    </row>
    <row r="86" spans="1:10" s="25" customFormat="1" ht="20.100000000000001" customHeight="1" x14ac:dyDescent="0.2">
      <c r="A86" s="119" t="s">
        <v>75</v>
      </c>
      <c r="B86" s="119"/>
      <c r="C86" s="119"/>
      <c r="D86" s="119"/>
      <c r="E86" s="119"/>
      <c r="F86" s="119"/>
      <c r="G86" s="119"/>
      <c r="H86" s="119"/>
      <c r="I86" s="119"/>
      <c r="J86" s="51"/>
    </row>
    <row r="87" spans="1:10" s="103" customFormat="1" ht="20.100000000000001" customHeight="1" x14ac:dyDescent="0.2">
      <c r="A87" s="100" t="s">
        <v>76</v>
      </c>
      <c r="B87" s="106">
        <v>500</v>
      </c>
      <c r="C87" s="87"/>
      <c r="D87" s="107">
        <f>D89</f>
        <v>3631.3</v>
      </c>
      <c r="E87" s="80">
        <f>SUM(F87:I87)</f>
        <v>3631.3</v>
      </c>
      <c r="F87" s="61">
        <f>F88+F89</f>
        <v>3631.3</v>
      </c>
      <c r="G87" s="61">
        <f>G88+G89</f>
        <v>0</v>
      </c>
      <c r="H87" s="61">
        <f>H88+H89</f>
        <v>0</v>
      </c>
      <c r="I87" s="61">
        <f>I88+I89</f>
        <v>0</v>
      </c>
      <c r="J87" s="102"/>
    </row>
    <row r="88" spans="1:10" s="25" customFormat="1" ht="75" customHeight="1" x14ac:dyDescent="0.2">
      <c r="A88" s="19" t="s">
        <v>77</v>
      </c>
      <c r="B88" s="31">
        <v>501</v>
      </c>
      <c r="C88" s="21"/>
      <c r="D88" s="21"/>
      <c r="E88" s="61">
        <f>SUM(F88:I88)</f>
        <v>0</v>
      </c>
      <c r="F88" s="58"/>
      <c r="G88" s="58"/>
      <c r="H88" s="22"/>
      <c r="I88" s="22"/>
      <c r="J88" s="51"/>
    </row>
    <row r="89" spans="1:10" s="25" customFormat="1" ht="33" customHeight="1" x14ac:dyDescent="0.2">
      <c r="A89" s="19" t="s">
        <v>161</v>
      </c>
      <c r="B89" s="31">
        <v>502</v>
      </c>
      <c r="C89" s="58">
        <v>64.900000000000006</v>
      </c>
      <c r="D89" s="58">
        <v>3631.3</v>
      </c>
      <c r="E89" s="61">
        <f>SUM(F89:I89)</f>
        <v>3631.3</v>
      </c>
      <c r="F89" s="58">
        <v>3631.3</v>
      </c>
      <c r="G89" s="58"/>
      <c r="H89" s="22"/>
      <c r="I89" s="22"/>
      <c r="J89" s="51"/>
    </row>
    <row r="90" spans="1:10" s="103" customFormat="1" ht="34.5" customHeight="1" x14ac:dyDescent="0.2">
      <c r="A90" s="108" t="s">
        <v>78</v>
      </c>
      <c r="B90" s="109">
        <v>510</v>
      </c>
      <c r="C90" s="104">
        <f>SUM(C91:C96)</f>
        <v>5457.7</v>
      </c>
      <c r="D90" s="80">
        <f>D91+D92</f>
        <v>5116.3</v>
      </c>
      <c r="E90" s="80">
        <f t="shared" ref="E90:E96" si="8">SUM(F90:I90)</f>
        <v>5116.3</v>
      </c>
      <c r="F90" s="80">
        <f>SUM(F91:F96)</f>
        <v>2650</v>
      </c>
      <c r="G90" s="80">
        <f>SUM(G91:G96)</f>
        <v>981.3</v>
      </c>
      <c r="H90" s="80">
        <f>SUM(H91:H96)</f>
        <v>1235</v>
      </c>
      <c r="I90" s="80">
        <f>SUM(I91:I96)</f>
        <v>250</v>
      </c>
      <c r="J90" s="102"/>
    </row>
    <row r="91" spans="1:10" s="25" customFormat="1" ht="46.5" customHeight="1" x14ac:dyDescent="0.2">
      <c r="A91" s="19" t="s">
        <v>79</v>
      </c>
      <c r="B91" s="32">
        <v>511</v>
      </c>
      <c r="C91" s="58">
        <v>610.29999999999995</v>
      </c>
      <c r="D91" s="58">
        <v>1966.3</v>
      </c>
      <c r="E91" s="61">
        <f>F91+G91+H91+I91</f>
        <v>1966.3</v>
      </c>
      <c r="F91" s="22">
        <v>1000</v>
      </c>
      <c r="G91" s="22">
        <f>481.3</f>
        <v>481.3</v>
      </c>
      <c r="H91" s="22">
        <v>235</v>
      </c>
      <c r="I91" s="22">
        <v>250</v>
      </c>
      <c r="J91" s="30" t="s">
        <v>177</v>
      </c>
    </row>
    <row r="92" spans="1:10" s="25" customFormat="1" ht="128.25" customHeight="1" x14ac:dyDescent="0.2">
      <c r="A92" s="19" t="s">
        <v>80</v>
      </c>
      <c r="B92" s="33">
        <v>512</v>
      </c>
      <c r="C92" s="58">
        <v>4847.3999999999996</v>
      </c>
      <c r="D92" s="22">
        <v>3150</v>
      </c>
      <c r="E92" s="61">
        <f t="shared" si="8"/>
        <v>3150</v>
      </c>
      <c r="F92" s="22">
        <v>1650</v>
      </c>
      <c r="G92" s="22">
        <f>500</f>
        <v>500</v>
      </c>
      <c r="H92" s="22">
        <v>1000</v>
      </c>
      <c r="I92" s="22"/>
      <c r="J92" s="30" t="s">
        <v>178</v>
      </c>
    </row>
    <row r="93" spans="1:10" s="25" customFormat="1" ht="48" customHeight="1" x14ac:dyDescent="0.2">
      <c r="A93" s="19" t="s">
        <v>81</v>
      </c>
      <c r="B93" s="32">
        <v>513</v>
      </c>
      <c r="C93" s="21"/>
      <c r="D93" s="22"/>
      <c r="E93" s="61">
        <f t="shared" si="8"/>
        <v>0</v>
      </c>
      <c r="F93" s="22"/>
      <c r="G93" s="22"/>
      <c r="H93" s="22"/>
      <c r="I93" s="22"/>
      <c r="J93" s="34"/>
    </row>
    <row r="94" spans="1:10" s="25" customFormat="1" ht="22.5" customHeight="1" x14ac:dyDescent="0.2">
      <c r="A94" s="19" t="s">
        <v>82</v>
      </c>
      <c r="B94" s="33">
        <v>514</v>
      </c>
      <c r="C94" s="21"/>
      <c r="D94" s="22"/>
      <c r="E94" s="61"/>
      <c r="F94" s="22"/>
      <c r="G94" s="22"/>
      <c r="H94" s="22"/>
      <c r="I94" s="22"/>
      <c r="J94" s="30"/>
    </row>
    <row r="95" spans="1:10" s="25" customFormat="1" ht="64.5" customHeight="1" x14ac:dyDescent="0.2">
      <c r="A95" s="19" t="s">
        <v>83</v>
      </c>
      <c r="B95" s="32">
        <v>515</v>
      </c>
      <c r="C95" s="21"/>
      <c r="D95" s="22"/>
      <c r="E95" s="61">
        <f t="shared" si="8"/>
        <v>0</v>
      </c>
      <c r="F95" s="22"/>
      <c r="G95" s="22"/>
      <c r="H95" s="22"/>
      <c r="I95" s="22"/>
      <c r="J95" s="30"/>
    </row>
    <row r="96" spans="1:10" s="25" customFormat="1" ht="20.100000000000001" customHeight="1" x14ac:dyDescent="0.2">
      <c r="A96" s="19" t="s">
        <v>84</v>
      </c>
      <c r="B96" s="35">
        <v>516</v>
      </c>
      <c r="C96" s="21"/>
      <c r="D96" s="21"/>
      <c r="E96" s="61">
        <f t="shared" si="8"/>
        <v>0</v>
      </c>
      <c r="F96" s="22"/>
      <c r="G96" s="22"/>
      <c r="H96" s="22"/>
      <c r="I96" s="22"/>
      <c r="J96" s="51"/>
    </row>
    <row r="97" spans="1:10" s="25" customFormat="1" ht="20.100000000000001" customHeight="1" x14ac:dyDescent="0.2">
      <c r="A97" s="119" t="s">
        <v>85</v>
      </c>
      <c r="B97" s="119"/>
      <c r="C97" s="119"/>
      <c r="D97" s="119"/>
      <c r="E97" s="119"/>
      <c r="F97" s="119"/>
      <c r="G97" s="119"/>
      <c r="H97" s="119"/>
      <c r="I97" s="119"/>
      <c r="J97" s="51"/>
    </row>
    <row r="98" spans="1:10" s="103" customFormat="1" ht="34.5" customHeight="1" x14ac:dyDescent="0.2">
      <c r="A98" s="100" t="s">
        <v>86</v>
      </c>
      <c r="B98" s="110">
        <v>600</v>
      </c>
      <c r="C98" s="107">
        <f>SUM(C99:C102)</f>
        <v>4026.2999999999997</v>
      </c>
      <c r="D98" s="107">
        <f>D101+D102</f>
        <v>60</v>
      </c>
      <c r="E98" s="61">
        <f>F98+G98+H98+I98</f>
        <v>60</v>
      </c>
      <c r="F98" s="61">
        <f>F101+F102</f>
        <v>60</v>
      </c>
      <c r="G98" s="61">
        <f>G101</f>
        <v>0</v>
      </c>
      <c r="H98" s="61">
        <f>H101</f>
        <v>0</v>
      </c>
      <c r="I98" s="61">
        <f>I101</f>
        <v>0</v>
      </c>
      <c r="J98" s="102"/>
    </row>
    <row r="99" spans="1:10" s="25" customFormat="1" ht="20.100000000000001" customHeight="1" x14ac:dyDescent="0.2">
      <c r="A99" s="23" t="s">
        <v>87</v>
      </c>
      <c r="B99" s="35">
        <v>601</v>
      </c>
      <c r="C99" s="58"/>
      <c r="D99" s="58"/>
      <c r="E99" s="61">
        <f t="shared" ref="E99:E107" si="9">SUM(F99:I99)</f>
        <v>0</v>
      </c>
      <c r="F99" s="22"/>
      <c r="G99" s="22"/>
      <c r="H99" s="22"/>
      <c r="I99" s="22"/>
      <c r="J99" s="51"/>
    </row>
    <row r="100" spans="1:10" s="25" customFormat="1" ht="20.100000000000001" customHeight="1" x14ac:dyDescent="0.2">
      <c r="A100" s="23" t="s">
        <v>88</v>
      </c>
      <c r="B100" s="35">
        <v>602</v>
      </c>
      <c r="C100" s="58"/>
      <c r="D100" s="58"/>
      <c r="E100" s="61">
        <f t="shared" si="9"/>
        <v>0</v>
      </c>
      <c r="F100" s="22"/>
      <c r="G100" s="22"/>
      <c r="H100" s="22"/>
      <c r="I100" s="22"/>
      <c r="J100" s="51"/>
    </row>
    <row r="101" spans="1:10" s="25" customFormat="1" ht="20.100000000000001" customHeight="1" x14ac:dyDescent="0.2">
      <c r="A101" s="23" t="s">
        <v>89</v>
      </c>
      <c r="B101" s="35">
        <v>603</v>
      </c>
      <c r="C101" s="58">
        <v>3978.6</v>
      </c>
      <c r="D101" s="58"/>
      <c r="E101" s="61">
        <f t="shared" si="9"/>
        <v>0</v>
      </c>
      <c r="F101" s="22"/>
      <c r="G101" s="22"/>
      <c r="H101" s="22"/>
      <c r="I101" s="22"/>
      <c r="J101" s="51"/>
    </row>
    <row r="102" spans="1:10" s="25" customFormat="1" ht="36.75" customHeight="1" x14ac:dyDescent="0.2">
      <c r="A102" s="19" t="s">
        <v>169</v>
      </c>
      <c r="B102" s="36">
        <v>610</v>
      </c>
      <c r="C102" s="68">
        <v>47.7</v>
      </c>
      <c r="D102" s="22">
        <v>60</v>
      </c>
      <c r="E102" s="80">
        <f t="shared" si="9"/>
        <v>60</v>
      </c>
      <c r="F102" s="22">
        <v>60</v>
      </c>
      <c r="G102" s="22"/>
      <c r="H102" s="22"/>
      <c r="I102" s="22"/>
      <c r="J102" s="51"/>
    </row>
    <row r="103" spans="1:10" s="103" customFormat="1" ht="39.75" customHeight="1" x14ac:dyDescent="0.2">
      <c r="A103" s="100" t="s">
        <v>91</v>
      </c>
      <c r="B103" s="110">
        <v>620</v>
      </c>
      <c r="C103" s="87">
        <f>SUM(C104:C107)</f>
        <v>0</v>
      </c>
      <c r="D103" s="111">
        <f>SUM(D104:D107)</f>
        <v>0</v>
      </c>
      <c r="E103" s="80"/>
      <c r="F103" s="61"/>
      <c r="G103" s="61"/>
      <c r="H103" s="61"/>
      <c r="I103" s="61"/>
      <c r="J103" s="102"/>
    </row>
    <row r="104" spans="1:10" s="25" customFormat="1" ht="20.100000000000001" customHeight="1" x14ac:dyDescent="0.2">
      <c r="A104" s="23" t="s">
        <v>87</v>
      </c>
      <c r="B104" s="35">
        <v>621</v>
      </c>
      <c r="C104" s="21"/>
      <c r="D104" s="21"/>
      <c r="E104" s="61">
        <f t="shared" si="9"/>
        <v>0</v>
      </c>
      <c r="F104" s="22"/>
      <c r="G104" s="22"/>
      <c r="H104" s="22"/>
      <c r="I104" s="22"/>
      <c r="J104" s="51"/>
    </row>
    <row r="105" spans="1:10" s="25" customFormat="1" ht="20.100000000000001" customHeight="1" x14ac:dyDescent="0.2">
      <c r="A105" s="23" t="s">
        <v>88</v>
      </c>
      <c r="B105" s="35">
        <v>622</v>
      </c>
      <c r="C105" s="21"/>
      <c r="D105" s="21"/>
      <c r="E105" s="61">
        <f t="shared" si="9"/>
        <v>0</v>
      </c>
      <c r="F105" s="22"/>
      <c r="G105" s="22"/>
      <c r="H105" s="22"/>
      <c r="I105" s="22"/>
      <c r="J105" s="51"/>
    </row>
    <row r="106" spans="1:10" s="25" customFormat="1" ht="20.100000000000001" customHeight="1" x14ac:dyDescent="0.2">
      <c r="A106" s="23" t="s">
        <v>89</v>
      </c>
      <c r="B106" s="35">
        <v>623</v>
      </c>
      <c r="C106" s="21"/>
      <c r="D106" s="21"/>
      <c r="E106" s="61">
        <f t="shared" si="9"/>
        <v>0</v>
      </c>
      <c r="F106" s="22"/>
      <c r="G106" s="22"/>
      <c r="H106" s="22"/>
      <c r="I106" s="22"/>
      <c r="J106" s="51"/>
    </row>
    <row r="107" spans="1:10" s="25" customFormat="1" ht="19.5" customHeight="1" x14ac:dyDescent="0.2">
      <c r="A107" s="19" t="s">
        <v>52</v>
      </c>
      <c r="B107" s="36">
        <v>630</v>
      </c>
      <c r="C107" s="21"/>
      <c r="D107" s="21"/>
      <c r="E107" s="61">
        <f t="shared" si="9"/>
        <v>0</v>
      </c>
      <c r="F107" s="22"/>
      <c r="G107" s="22"/>
      <c r="H107" s="22"/>
      <c r="I107" s="22"/>
      <c r="J107" s="51"/>
    </row>
    <row r="108" spans="1:10" s="77" customFormat="1" ht="20.100000000000001" customHeight="1" x14ac:dyDescent="0.2">
      <c r="A108" s="108" t="s">
        <v>92</v>
      </c>
      <c r="B108" s="112">
        <v>700</v>
      </c>
      <c r="C108" s="85">
        <f>SUM(C26+C28+C74+C87+C98+C89)</f>
        <v>32612.3</v>
      </c>
      <c r="D108" s="85">
        <f>SUM(D26+D74+D87+D98)</f>
        <v>31647.7</v>
      </c>
      <c r="E108" s="85">
        <f>SUM(F108:I108)</f>
        <v>31647.650000000005</v>
      </c>
      <c r="F108" s="85">
        <f>F26+F87+F98</f>
        <v>11091.400000000001</v>
      </c>
      <c r="G108" s="85">
        <f>G26+G87+G101</f>
        <v>7356.2</v>
      </c>
      <c r="H108" s="85">
        <f>H26+H87+H101</f>
        <v>5954.6</v>
      </c>
      <c r="I108" s="85">
        <f>I26+I87+I101</f>
        <v>7245.45</v>
      </c>
      <c r="J108" s="102"/>
    </row>
    <row r="109" spans="1:10" s="77" customFormat="1" ht="20.100000000000001" customHeight="1" x14ac:dyDescent="0.2">
      <c r="A109" s="108" t="s">
        <v>93</v>
      </c>
      <c r="B109" s="112">
        <v>800</v>
      </c>
      <c r="C109" s="85">
        <f>C36+C44+C50+C51+C52+C54+C55+C60+C90+C103+C53+C77+C107</f>
        <v>28981.000000000004</v>
      </c>
      <c r="D109" s="85">
        <f>D36+D44+D50+D51+D52+D54+D55+D60+D90+D103+D53+D77+D107</f>
        <v>31647.699999999997</v>
      </c>
      <c r="E109" s="85">
        <f>SUM(F109:I109)</f>
        <v>31647.649999999998</v>
      </c>
      <c r="F109" s="85">
        <f>F85+F90</f>
        <v>10110.1</v>
      </c>
      <c r="G109" s="85">
        <f>G85+G90</f>
        <v>8337.5</v>
      </c>
      <c r="H109" s="85">
        <f>H85+H90</f>
        <v>5954.5999999999995</v>
      </c>
      <c r="I109" s="85">
        <f>I85+I90</f>
        <v>7245.45</v>
      </c>
      <c r="J109" s="102"/>
    </row>
    <row r="110" spans="1:10" ht="46.5" customHeight="1" x14ac:dyDescent="0.2">
      <c r="A110" s="19" t="s">
        <v>94</v>
      </c>
      <c r="B110" s="20">
        <v>850</v>
      </c>
      <c r="C110" s="58">
        <f t="shared" ref="C110:I110" si="10">C108-C109</f>
        <v>3631.2999999999956</v>
      </c>
      <c r="D110" s="58"/>
      <c r="E110" s="61">
        <f t="shared" si="10"/>
        <v>0</v>
      </c>
      <c r="F110" s="37">
        <f t="shared" si="10"/>
        <v>981.30000000000109</v>
      </c>
      <c r="G110" s="37">
        <f t="shared" si="10"/>
        <v>-981.30000000000018</v>
      </c>
      <c r="H110" s="37">
        <f t="shared" si="10"/>
        <v>0</v>
      </c>
      <c r="I110" s="37">
        <f t="shared" si="10"/>
        <v>0</v>
      </c>
      <c r="J110" s="51"/>
    </row>
    <row r="111" spans="1:10" ht="19.5" customHeight="1" x14ac:dyDescent="0.2">
      <c r="A111" s="119" t="s">
        <v>95</v>
      </c>
      <c r="B111" s="119"/>
      <c r="C111" s="38"/>
      <c r="D111" s="38"/>
      <c r="E111" s="86"/>
      <c r="F111" s="39" t="s">
        <v>96</v>
      </c>
      <c r="G111" s="39" t="s">
        <v>97</v>
      </c>
      <c r="H111" s="39" t="s">
        <v>98</v>
      </c>
      <c r="I111" s="39" t="s">
        <v>99</v>
      </c>
      <c r="J111" s="51"/>
    </row>
    <row r="112" spans="1:10" ht="19.5" customHeight="1" x14ac:dyDescent="0.2">
      <c r="A112" s="19" t="s">
        <v>100</v>
      </c>
      <c r="B112" s="20">
        <v>900</v>
      </c>
      <c r="C112" s="21"/>
      <c r="D112" s="21"/>
      <c r="E112" s="87"/>
      <c r="F112" s="49">
        <v>105</v>
      </c>
      <c r="G112" s="49">
        <v>104</v>
      </c>
      <c r="H112" s="49">
        <v>106</v>
      </c>
      <c r="I112" s="49">
        <v>106</v>
      </c>
      <c r="J112" s="51"/>
    </row>
    <row r="113" spans="1:10" ht="19.5" customHeight="1" x14ac:dyDescent="0.2">
      <c r="A113" s="19" t="s">
        <v>101</v>
      </c>
      <c r="B113" s="20">
        <v>910</v>
      </c>
      <c r="C113" s="21"/>
      <c r="D113" s="21"/>
      <c r="E113" s="87"/>
      <c r="F113" s="22"/>
      <c r="G113" s="22"/>
      <c r="H113" s="22"/>
      <c r="I113" s="22"/>
      <c r="J113" s="51"/>
    </row>
    <row r="114" spans="1:10" ht="19.5" customHeight="1" x14ac:dyDescent="0.2">
      <c r="A114" s="19" t="s">
        <v>102</v>
      </c>
      <c r="B114" s="20">
        <v>920</v>
      </c>
      <c r="C114" s="21"/>
      <c r="D114" s="21"/>
      <c r="E114" s="87"/>
      <c r="F114" s="21">
        <f>-G114-F1128</f>
        <v>0</v>
      </c>
      <c r="G114" s="21">
        <f>-H114-G1128</f>
        <v>0</v>
      </c>
      <c r="H114" s="21">
        <f>-I114-H1128</f>
        <v>0</v>
      </c>
      <c r="I114" s="21">
        <v>0</v>
      </c>
      <c r="J114" s="51"/>
    </row>
    <row r="115" spans="1:10" ht="42" customHeight="1" x14ac:dyDescent="0.2">
      <c r="A115" s="19" t="s">
        <v>103</v>
      </c>
      <c r="B115" s="20">
        <v>930</v>
      </c>
      <c r="C115" s="21"/>
      <c r="D115" s="21"/>
      <c r="E115" s="87"/>
      <c r="F115" s="21">
        <f>-H1110</f>
        <v>0</v>
      </c>
      <c r="G115" s="21">
        <f>-I1110</f>
        <v>0</v>
      </c>
      <c r="H115" s="21">
        <f>-J1110</f>
        <v>0</v>
      </c>
      <c r="I115" s="21">
        <v>0</v>
      </c>
      <c r="J115" s="51"/>
    </row>
    <row r="116" spans="1:10" ht="42" customHeight="1" x14ac:dyDescent="0.2">
      <c r="A116" s="132" t="s">
        <v>159</v>
      </c>
      <c r="B116" s="132"/>
      <c r="C116" s="132"/>
      <c r="D116" s="132"/>
      <c r="E116" s="132"/>
      <c r="F116" s="132"/>
      <c r="G116" s="132"/>
      <c r="H116" s="132"/>
      <c r="I116" s="132"/>
    </row>
    <row r="117" spans="1:10" ht="78.75" customHeight="1" x14ac:dyDescent="0.2">
      <c r="A117" s="7" t="s">
        <v>1</v>
      </c>
      <c r="B117" s="129" t="s">
        <v>129</v>
      </c>
      <c r="C117" s="129"/>
      <c r="D117" s="129"/>
      <c r="E117" s="129"/>
      <c r="F117" s="129"/>
      <c r="G117" s="8"/>
      <c r="H117" s="5" t="s">
        <v>2</v>
      </c>
      <c r="I117" s="65">
        <v>1993546</v>
      </c>
    </row>
    <row r="118" spans="1:10" x14ac:dyDescent="0.2">
      <c r="A118" s="7" t="s">
        <v>3</v>
      </c>
      <c r="B118" s="129" t="s">
        <v>4</v>
      </c>
      <c r="C118" s="129"/>
      <c r="D118" s="129"/>
      <c r="E118" s="129"/>
      <c r="F118" s="4"/>
      <c r="G118" s="9"/>
      <c r="H118" s="5" t="s">
        <v>5</v>
      </c>
      <c r="I118" s="65"/>
    </row>
    <row r="119" spans="1:10" x14ac:dyDescent="0.2">
      <c r="A119" s="7" t="s">
        <v>6</v>
      </c>
      <c r="B119" s="129" t="s">
        <v>114</v>
      </c>
      <c r="C119" s="129"/>
      <c r="D119" s="129"/>
      <c r="E119" s="129"/>
      <c r="F119" s="4"/>
      <c r="G119" s="9"/>
      <c r="H119" s="5" t="s">
        <v>7</v>
      </c>
      <c r="I119" s="65"/>
    </row>
    <row r="120" spans="1:10" ht="36.75" customHeight="1" x14ac:dyDescent="0.2">
      <c r="A120" s="7" t="s">
        <v>8</v>
      </c>
      <c r="B120" s="129" t="s">
        <v>132</v>
      </c>
      <c r="C120" s="129"/>
      <c r="D120" s="129"/>
      <c r="E120" s="129"/>
      <c r="F120" s="129"/>
      <c r="G120" s="8"/>
      <c r="H120" s="5" t="s">
        <v>9</v>
      </c>
      <c r="I120" s="65"/>
    </row>
    <row r="121" spans="1:10" x14ac:dyDescent="0.2">
      <c r="A121" s="7" t="s">
        <v>10</v>
      </c>
      <c r="B121" s="129" t="s">
        <v>11</v>
      </c>
      <c r="C121" s="129"/>
      <c r="D121" s="129"/>
      <c r="E121" s="129"/>
      <c r="F121" s="10"/>
      <c r="G121" s="8"/>
      <c r="H121" s="5" t="s">
        <v>12</v>
      </c>
      <c r="I121" s="65"/>
    </row>
    <row r="122" spans="1:10" x14ac:dyDescent="0.2">
      <c r="A122" s="7" t="s">
        <v>13</v>
      </c>
      <c r="B122" s="129" t="s">
        <v>142</v>
      </c>
      <c r="C122" s="129"/>
      <c r="D122" s="129"/>
      <c r="E122" s="129"/>
      <c r="F122" s="10"/>
      <c r="G122" s="11"/>
      <c r="H122" s="12" t="s">
        <v>14</v>
      </c>
      <c r="I122" s="65" t="s">
        <v>111</v>
      </c>
    </row>
    <row r="123" spans="1:10" ht="18.75" customHeight="1" x14ac:dyDescent="0.2">
      <c r="A123" s="7" t="s">
        <v>15</v>
      </c>
      <c r="B123" s="129" t="s">
        <v>107</v>
      </c>
      <c r="C123" s="129"/>
      <c r="D123" s="129"/>
      <c r="E123" s="129"/>
      <c r="F123" s="129"/>
      <c r="G123" s="130"/>
      <c r="H123" s="131"/>
      <c r="I123" s="66"/>
    </row>
    <row r="124" spans="1:10" ht="18.75" customHeight="1" x14ac:dyDescent="0.2">
      <c r="A124" s="7" t="s">
        <v>16</v>
      </c>
      <c r="B124" s="129" t="s">
        <v>17</v>
      </c>
      <c r="C124" s="129"/>
      <c r="D124" s="129"/>
      <c r="E124" s="129"/>
      <c r="F124" s="129"/>
      <c r="G124" s="130"/>
      <c r="H124" s="131"/>
      <c r="I124" s="14"/>
    </row>
    <row r="125" spans="1:10" ht="37.5" x14ac:dyDescent="0.2">
      <c r="A125" s="7" t="s">
        <v>143</v>
      </c>
      <c r="B125" s="128">
        <v>623.75</v>
      </c>
      <c r="C125" s="128"/>
      <c r="D125" s="128"/>
      <c r="E125" s="128"/>
      <c r="F125" s="10"/>
      <c r="G125" s="10"/>
      <c r="H125" s="10"/>
      <c r="I125" s="8"/>
    </row>
    <row r="126" spans="1:10" ht="41.25" customHeight="1" x14ac:dyDescent="0.2">
      <c r="A126" s="7" t="s">
        <v>18</v>
      </c>
      <c r="B126" s="128" t="s">
        <v>115</v>
      </c>
      <c r="C126" s="128"/>
      <c r="D126" s="128"/>
      <c r="E126" s="128"/>
      <c r="F126" s="128"/>
      <c r="G126" s="4"/>
      <c r="H126" s="4"/>
      <c r="I126" s="9"/>
    </row>
    <row r="127" spans="1:10" x14ac:dyDescent="0.2">
      <c r="A127" s="7" t="s">
        <v>19</v>
      </c>
      <c r="B127" s="128" t="s">
        <v>116</v>
      </c>
      <c r="C127" s="128"/>
      <c r="D127" s="128"/>
      <c r="E127" s="128"/>
      <c r="F127" s="10"/>
      <c r="G127" s="10"/>
      <c r="H127" s="10"/>
      <c r="I127" s="8"/>
    </row>
    <row r="128" spans="1:10" x14ac:dyDescent="0.2">
      <c r="A128" s="7" t="s">
        <v>20</v>
      </c>
      <c r="B128" s="128" t="s">
        <v>170</v>
      </c>
      <c r="C128" s="128"/>
      <c r="D128" s="128"/>
      <c r="E128" s="128"/>
      <c r="F128" s="4"/>
      <c r="G128" s="4"/>
      <c r="H128" s="4"/>
      <c r="I128" s="9"/>
    </row>
    <row r="129" spans="1:10" ht="20.25" customHeight="1" x14ac:dyDescent="0.2">
      <c r="A129" s="15"/>
      <c r="B129" s="16"/>
      <c r="C129" s="15"/>
      <c r="D129" s="15"/>
      <c r="E129" s="78"/>
      <c r="F129" s="15"/>
      <c r="G129" s="15"/>
      <c r="H129" s="15"/>
      <c r="I129" s="15" t="s">
        <v>21</v>
      </c>
    </row>
    <row r="130" spans="1:10" ht="36" customHeight="1" x14ac:dyDescent="0.2">
      <c r="A130" s="125" t="s">
        <v>22</v>
      </c>
      <c r="B130" s="126" t="s">
        <v>23</v>
      </c>
      <c r="C130" s="126" t="s">
        <v>24</v>
      </c>
      <c r="D130" s="126" t="s">
        <v>25</v>
      </c>
      <c r="E130" s="127" t="s">
        <v>26</v>
      </c>
      <c r="F130" s="126" t="s">
        <v>27</v>
      </c>
      <c r="G130" s="126"/>
      <c r="H130" s="126"/>
      <c r="I130" s="126"/>
      <c r="J130" s="124" t="s">
        <v>28</v>
      </c>
    </row>
    <row r="131" spans="1:10" ht="61.5" customHeight="1" x14ac:dyDescent="0.2">
      <c r="A131" s="125"/>
      <c r="B131" s="126"/>
      <c r="C131" s="126"/>
      <c r="D131" s="126"/>
      <c r="E131" s="127"/>
      <c r="F131" s="17" t="s">
        <v>29</v>
      </c>
      <c r="G131" s="17" t="s">
        <v>30</v>
      </c>
      <c r="H131" s="17" t="s">
        <v>31</v>
      </c>
      <c r="I131" s="17" t="s">
        <v>32</v>
      </c>
      <c r="J131" s="124"/>
    </row>
    <row r="132" spans="1:10" ht="18" customHeight="1" x14ac:dyDescent="0.2">
      <c r="A132" s="65">
        <v>1</v>
      </c>
      <c r="B132" s="66">
        <v>2</v>
      </c>
      <c r="C132" s="66">
        <v>3</v>
      </c>
      <c r="D132" s="66">
        <v>4</v>
      </c>
      <c r="E132" s="79">
        <v>5</v>
      </c>
      <c r="F132" s="66">
        <v>6</v>
      </c>
      <c r="G132" s="66">
        <v>7</v>
      </c>
      <c r="H132" s="66">
        <v>8</v>
      </c>
      <c r="I132" s="66">
        <v>9</v>
      </c>
      <c r="J132" s="64">
        <v>10</v>
      </c>
    </row>
    <row r="133" spans="1:10" ht="18" customHeight="1" x14ac:dyDescent="0.2">
      <c r="A133" s="119" t="s">
        <v>33</v>
      </c>
      <c r="B133" s="119"/>
      <c r="C133" s="119"/>
      <c r="D133" s="119"/>
      <c r="E133" s="119"/>
      <c r="F133" s="119"/>
      <c r="G133" s="119"/>
      <c r="H133" s="119"/>
      <c r="I133" s="119"/>
      <c r="J133" s="64"/>
    </row>
    <row r="134" spans="1:10" s="18" customFormat="1" ht="20.100000000000001" customHeight="1" x14ac:dyDescent="0.2">
      <c r="A134" s="119" t="s">
        <v>34</v>
      </c>
      <c r="B134" s="119"/>
      <c r="C134" s="119"/>
      <c r="D134" s="119"/>
      <c r="E134" s="119"/>
      <c r="F134" s="119"/>
      <c r="G134" s="119"/>
      <c r="H134" s="119"/>
      <c r="I134" s="119"/>
      <c r="J134" s="119"/>
    </row>
    <row r="135" spans="1:10" s="18" customFormat="1" ht="98.25" customHeight="1" x14ac:dyDescent="0.2">
      <c r="A135" s="19" t="s">
        <v>35</v>
      </c>
      <c r="B135" s="20">
        <v>100</v>
      </c>
      <c r="C135" s="68">
        <v>142626.20000000001</v>
      </c>
      <c r="D135" s="48">
        <f>E135</f>
        <v>147979.12</v>
      </c>
      <c r="E135" s="88">
        <f>F135+G135+H135+I135</f>
        <v>147979.12</v>
      </c>
      <c r="F135" s="69">
        <f>F136+F137+F140+F143</f>
        <v>42458.8</v>
      </c>
      <c r="G135" s="69">
        <f t="shared" ref="G135:I135" si="11">G136+G137+G140</f>
        <v>33693.56</v>
      </c>
      <c r="H135" s="69">
        <f t="shared" si="11"/>
        <v>35439.56</v>
      </c>
      <c r="I135" s="69">
        <f t="shared" si="11"/>
        <v>36387.19999999999</v>
      </c>
      <c r="J135" s="52"/>
    </row>
    <row r="136" spans="1:10" s="18" customFormat="1" ht="94.5" customHeight="1" x14ac:dyDescent="0.2">
      <c r="A136" s="19" t="s">
        <v>144</v>
      </c>
      <c r="B136" s="20">
        <v>110</v>
      </c>
      <c r="C136" s="68">
        <v>5917.9</v>
      </c>
      <c r="D136" s="48">
        <f>E136</f>
        <v>7601.0999999999995</v>
      </c>
      <c r="E136" s="88">
        <f>F136+G136+H136+I136</f>
        <v>7601.0999999999995</v>
      </c>
      <c r="F136" s="22">
        <f>1565.1</f>
        <v>1565.1</v>
      </c>
      <c r="G136" s="22">
        <f>1564.8+620.1</f>
        <v>2184.9</v>
      </c>
      <c r="H136" s="22">
        <f>1564.8-620.1+602.7</f>
        <v>1547.4</v>
      </c>
      <c r="I136" s="22">
        <f>646.5+1657.2</f>
        <v>2303.6999999999998</v>
      </c>
      <c r="J136" s="30" t="s">
        <v>163</v>
      </c>
    </row>
    <row r="137" spans="1:10" s="18" customFormat="1" ht="63" x14ac:dyDescent="0.2">
      <c r="A137" s="19" t="s">
        <v>37</v>
      </c>
      <c r="B137" s="20">
        <v>120</v>
      </c>
      <c r="C137" s="68">
        <v>673.8</v>
      </c>
      <c r="D137" s="22">
        <v>80</v>
      </c>
      <c r="E137" s="88">
        <f>SUM(F137:I137)</f>
        <v>80</v>
      </c>
      <c r="F137" s="22">
        <f>F139</f>
        <v>0</v>
      </c>
      <c r="G137" s="22">
        <f t="shared" ref="G137:I137" si="12">G139</f>
        <v>0</v>
      </c>
      <c r="H137" s="22">
        <f t="shared" si="12"/>
        <v>0</v>
      </c>
      <c r="I137" s="22">
        <f t="shared" si="12"/>
        <v>80</v>
      </c>
      <c r="J137" s="30" t="s">
        <v>174</v>
      </c>
    </row>
    <row r="138" spans="1:10" s="18" customFormat="1" ht="52.5" customHeight="1" x14ac:dyDescent="0.2">
      <c r="A138" s="23" t="s">
        <v>165</v>
      </c>
      <c r="B138" s="24">
        <v>121</v>
      </c>
      <c r="C138" s="68">
        <v>673.8</v>
      </c>
      <c r="D138" s="22"/>
      <c r="E138" s="89">
        <f>F138+G138+H138+I138</f>
        <v>0</v>
      </c>
      <c r="F138" s="22"/>
      <c r="G138" s="22"/>
      <c r="H138" s="22"/>
      <c r="I138" s="22"/>
      <c r="J138" s="30"/>
    </row>
    <row r="139" spans="1:10" s="18" customFormat="1" ht="52.5" customHeight="1" x14ac:dyDescent="0.2">
      <c r="A139" s="23" t="s">
        <v>166</v>
      </c>
      <c r="B139" s="24">
        <v>122</v>
      </c>
      <c r="C139" s="68"/>
      <c r="D139" s="22">
        <v>80</v>
      </c>
      <c r="E139" s="89">
        <f>SUM(F139:I139)</f>
        <v>80</v>
      </c>
      <c r="F139" s="22"/>
      <c r="G139" s="22"/>
      <c r="H139" s="22"/>
      <c r="I139" s="22">
        <f>30+50</f>
        <v>80</v>
      </c>
      <c r="J139" s="30"/>
    </row>
    <row r="140" spans="1:10" s="18" customFormat="1" ht="47.25" x14ac:dyDescent="0.2">
      <c r="A140" s="19" t="s">
        <v>145</v>
      </c>
      <c r="B140" s="20">
        <v>130</v>
      </c>
      <c r="C140" s="68">
        <v>135971.6</v>
      </c>
      <c r="D140" s="58">
        <f>E140</f>
        <v>139413.12</v>
      </c>
      <c r="E140" s="88">
        <f>SUM(F140:I140)</f>
        <v>139413.12</v>
      </c>
      <c r="F140" s="68">
        <f>31248.1+8760.7</f>
        <v>40008.800000000003</v>
      </c>
      <c r="G140" s="68">
        <f>31248.1+260.56</f>
        <v>31508.66</v>
      </c>
      <c r="H140" s="68">
        <f>31248.1+504.37+760+741.79+560+77.9</f>
        <v>33892.159999999996</v>
      </c>
      <c r="I140" s="68">
        <f>31248.1+504.37+741.79+116.85-83.88+1476.27</f>
        <v>34003.499999999993</v>
      </c>
      <c r="J140" s="30" t="s">
        <v>167</v>
      </c>
    </row>
    <row r="141" spans="1:10" s="18" customFormat="1" x14ac:dyDescent="0.2">
      <c r="A141" s="19" t="s">
        <v>146</v>
      </c>
      <c r="B141" s="20">
        <v>132</v>
      </c>
      <c r="C141" s="68"/>
      <c r="D141" s="58"/>
      <c r="E141" s="88"/>
      <c r="F141" s="68"/>
      <c r="G141" s="68"/>
      <c r="H141" s="68"/>
      <c r="I141" s="68"/>
      <c r="J141" s="30"/>
    </row>
    <row r="142" spans="1:10" s="18" customFormat="1" ht="37.5" x14ac:dyDescent="0.2">
      <c r="A142" s="19" t="s">
        <v>147</v>
      </c>
      <c r="B142" s="20">
        <v>133</v>
      </c>
      <c r="C142" s="68">
        <v>0</v>
      </c>
      <c r="D142" s="58"/>
      <c r="E142" s="88"/>
      <c r="F142" s="68"/>
      <c r="G142" s="68"/>
      <c r="H142" s="68"/>
      <c r="I142" s="68"/>
      <c r="J142" s="30"/>
    </row>
    <row r="143" spans="1:10" s="18" customFormat="1" ht="37.5" x14ac:dyDescent="0.2">
      <c r="A143" s="14" t="s">
        <v>164</v>
      </c>
      <c r="B143" s="20">
        <v>140</v>
      </c>
      <c r="C143" s="68">
        <v>62.9</v>
      </c>
      <c r="D143" s="68">
        <f t="shared" ref="D143:D153" si="13">E143</f>
        <v>884.9</v>
      </c>
      <c r="E143" s="88">
        <f>SUM(F143:I143)</f>
        <v>884.9</v>
      </c>
      <c r="F143" s="68">
        <v>884.9</v>
      </c>
      <c r="G143" s="68">
        <v>0</v>
      </c>
      <c r="H143" s="68">
        <v>0</v>
      </c>
      <c r="I143" s="68">
        <v>0</v>
      </c>
      <c r="J143" s="30"/>
    </row>
    <row r="144" spans="1:10" s="77" customFormat="1" ht="45.75" customHeight="1" x14ac:dyDescent="0.2">
      <c r="A144" s="100" t="s">
        <v>38</v>
      </c>
      <c r="B144" s="101">
        <v>150</v>
      </c>
      <c r="C144" s="90">
        <v>141741.20000000001</v>
      </c>
      <c r="D144" s="88">
        <f t="shared" si="13"/>
        <v>147979.13800000001</v>
      </c>
      <c r="E144" s="88">
        <f t="shared" ref="E144:E145" si="14">SUM(F144:I144)</f>
        <v>147979.13800000001</v>
      </c>
      <c r="F144" s="113">
        <f>SUM(F145,F149,F155,F156,F158,F159,F160,F157,F193,)</f>
        <v>42458.8</v>
      </c>
      <c r="G144" s="113">
        <f>SUM(G145,G149,G155,G156,G158,G159,G160,G157,G193,)</f>
        <v>33693.563000000002</v>
      </c>
      <c r="H144" s="113">
        <f>SUM(H145,H149,H155,H156,H158,H159,H160,H157,H193,)</f>
        <v>35439.562000000005</v>
      </c>
      <c r="I144" s="113">
        <f>SUM(I145,I149,I155,I156,I158,I159,I160,I157,I193,)</f>
        <v>36387.212999999996</v>
      </c>
      <c r="J144" s="102"/>
    </row>
    <row r="145" spans="1:10" s="77" customFormat="1" ht="41.25" customHeight="1" x14ac:dyDescent="0.2">
      <c r="A145" s="100" t="s">
        <v>39</v>
      </c>
      <c r="B145" s="79">
        <v>160</v>
      </c>
      <c r="C145" s="90">
        <v>19088.5</v>
      </c>
      <c r="D145" s="88">
        <f t="shared" si="13"/>
        <v>21475.22</v>
      </c>
      <c r="E145" s="88">
        <f t="shared" si="14"/>
        <v>21475.22</v>
      </c>
      <c r="F145" s="114">
        <f>SUM(F146:F148)</f>
        <v>5271.8</v>
      </c>
      <c r="G145" s="114">
        <f>SUM(G146:G148)</f>
        <v>5922.5940000000001</v>
      </c>
      <c r="H145" s="114">
        <f>SUM(H146:H148)</f>
        <v>4908.5209999999997</v>
      </c>
      <c r="I145" s="114">
        <f>SUM(I146:I148)</f>
        <v>5372.3049999999994</v>
      </c>
      <c r="J145" s="102"/>
    </row>
    <row r="146" spans="1:10" ht="69.75" customHeight="1" x14ac:dyDescent="0.2">
      <c r="A146" s="23" t="s">
        <v>40</v>
      </c>
      <c r="B146" s="26">
        <v>161</v>
      </c>
      <c r="C146" s="70">
        <v>17254.2</v>
      </c>
      <c r="D146" s="22">
        <f t="shared" si="13"/>
        <v>19304.119999999995</v>
      </c>
      <c r="E146" s="89">
        <f t="shared" ref="E146:E148" si="15">F146+G146+H146+I146</f>
        <v>19304.119999999995</v>
      </c>
      <c r="F146" s="68">
        <f>4000+708.4</f>
        <v>4708.3999999999996</v>
      </c>
      <c r="G146" s="22">
        <f>4000+1000+155.094</f>
        <v>5155.0940000000001</v>
      </c>
      <c r="H146" s="22">
        <f>4000+232.641+210.22+77.9</f>
        <v>4520.7609999999995</v>
      </c>
      <c r="I146" s="22">
        <f>4000-1000+232.635+289.78+116.85+1250.6+30</f>
        <v>4919.8649999999998</v>
      </c>
      <c r="J146" s="28" t="s">
        <v>175</v>
      </c>
    </row>
    <row r="147" spans="1:10" ht="51" customHeight="1" x14ac:dyDescent="0.2">
      <c r="A147" s="23" t="s">
        <v>121</v>
      </c>
      <c r="B147" s="26">
        <v>162</v>
      </c>
      <c r="C147" s="70">
        <v>489.1</v>
      </c>
      <c r="D147" s="22">
        <f t="shared" si="13"/>
        <v>759.8</v>
      </c>
      <c r="E147" s="89">
        <f t="shared" si="15"/>
        <v>759.8</v>
      </c>
      <c r="F147" s="22">
        <f>175+9.8</f>
        <v>184.8</v>
      </c>
      <c r="G147" s="22">
        <v>175</v>
      </c>
      <c r="H147" s="22">
        <v>175</v>
      </c>
      <c r="I147" s="22">
        <f>175+50</f>
        <v>225</v>
      </c>
      <c r="J147" s="28"/>
    </row>
    <row r="148" spans="1:10" ht="126.75" customHeight="1" x14ac:dyDescent="0.2">
      <c r="A148" s="23" t="s">
        <v>148</v>
      </c>
      <c r="B148" s="26">
        <v>163</v>
      </c>
      <c r="C148" s="70">
        <v>1345.2</v>
      </c>
      <c r="D148" s="22">
        <f t="shared" si="13"/>
        <v>1411.3000000000002</v>
      </c>
      <c r="E148" s="89">
        <f t="shared" si="15"/>
        <v>1411.3000000000002</v>
      </c>
      <c r="F148" s="22">
        <f>270.1+108.5</f>
        <v>378.6</v>
      </c>
      <c r="G148" s="22">
        <f>270.1+200+122.4</f>
        <v>592.5</v>
      </c>
      <c r="H148" s="22">
        <f>270.1-100+42.66</f>
        <v>212.76000000000002</v>
      </c>
      <c r="I148" s="22">
        <f>270.1-100+57.34</f>
        <v>227.44000000000003</v>
      </c>
      <c r="J148" s="27" t="s">
        <v>149</v>
      </c>
    </row>
    <row r="149" spans="1:10" s="77" customFormat="1" ht="34.5" customHeight="1" x14ac:dyDescent="0.2">
      <c r="A149" s="100" t="s">
        <v>42</v>
      </c>
      <c r="B149" s="79">
        <v>170</v>
      </c>
      <c r="C149" s="90">
        <v>5917.9</v>
      </c>
      <c r="D149" s="88">
        <f t="shared" si="13"/>
        <v>7698.1</v>
      </c>
      <c r="E149" s="88">
        <f>SUM(E150:E154)</f>
        <v>7698.1</v>
      </c>
      <c r="F149" s="89">
        <f>F150+F151+F152+F153+F154</f>
        <v>1565.1000000000001</v>
      </c>
      <c r="G149" s="89">
        <f t="shared" ref="G149:I149" si="16">G150+G151+G152+G153+G154</f>
        <v>2184.8999999999996</v>
      </c>
      <c r="H149" s="89">
        <f t="shared" si="16"/>
        <v>1644.3999999999999</v>
      </c>
      <c r="I149" s="89">
        <f t="shared" si="16"/>
        <v>2303.7000000000003</v>
      </c>
      <c r="J149" s="102"/>
    </row>
    <row r="150" spans="1:10" s="77" customFormat="1" ht="34.5" customHeight="1" x14ac:dyDescent="0.2">
      <c r="A150" s="105" t="s">
        <v>120</v>
      </c>
      <c r="B150" s="79">
        <v>171</v>
      </c>
      <c r="C150" s="90">
        <v>2711.8</v>
      </c>
      <c r="D150" s="88">
        <f t="shared" si="13"/>
        <v>2575.6000000000004</v>
      </c>
      <c r="E150" s="90">
        <f>F150+G150+H150+I150</f>
        <v>2575.6000000000004</v>
      </c>
      <c r="F150" s="115">
        <f>815.22</f>
        <v>815.22</v>
      </c>
      <c r="G150" s="115">
        <f>806.73+182.45-107.98</f>
        <v>881.2</v>
      </c>
      <c r="H150" s="115">
        <f>182.45-182.45</f>
        <v>0</v>
      </c>
      <c r="I150" s="115">
        <f>107.98+771.2</f>
        <v>879.18000000000006</v>
      </c>
      <c r="J150" s="102"/>
    </row>
    <row r="151" spans="1:10" ht="36" customHeight="1" x14ac:dyDescent="0.2">
      <c r="A151" s="23" t="s">
        <v>43</v>
      </c>
      <c r="B151" s="26">
        <v>172</v>
      </c>
      <c r="C151" s="70">
        <v>1707.5</v>
      </c>
      <c r="D151" s="68">
        <f t="shared" si="13"/>
        <v>3368.2700000000004</v>
      </c>
      <c r="E151" s="90">
        <f>F151+G151+H151+I151</f>
        <v>3368.2700000000004</v>
      </c>
      <c r="F151" s="70">
        <f>444.81</f>
        <v>444.81</v>
      </c>
      <c r="G151" s="70">
        <f>442.47+253+100.33</f>
        <v>795.80000000000007</v>
      </c>
      <c r="H151" s="70">
        <f>630.36-40+602.7</f>
        <v>1193.06</v>
      </c>
      <c r="I151" s="70">
        <f>471.23-213-100.33+776.7</f>
        <v>934.60000000000014</v>
      </c>
      <c r="J151" s="64"/>
    </row>
    <row r="152" spans="1:10" ht="40.5" customHeight="1" x14ac:dyDescent="0.2">
      <c r="A152" s="23" t="s">
        <v>44</v>
      </c>
      <c r="B152" s="26">
        <v>173</v>
      </c>
      <c r="C152" s="70">
        <v>611</v>
      </c>
      <c r="D152" s="68">
        <f t="shared" si="13"/>
        <v>710.76</v>
      </c>
      <c r="E152" s="90">
        <f>F152+G152+H152+I152</f>
        <v>710.76</v>
      </c>
      <c r="F152" s="70">
        <f>97.15</f>
        <v>97.15</v>
      </c>
      <c r="G152" s="70">
        <f>100.71+92.24+7.65</f>
        <v>200.6</v>
      </c>
      <c r="H152" s="70">
        <f>352.4-127.76</f>
        <v>224.64</v>
      </c>
      <c r="I152" s="70">
        <f>35.52-7.65+160.5</f>
        <v>188.37</v>
      </c>
      <c r="J152" s="64"/>
    </row>
    <row r="153" spans="1:10" ht="30" customHeight="1" x14ac:dyDescent="0.2">
      <c r="A153" s="23" t="s">
        <v>45</v>
      </c>
      <c r="B153" s="26">
        <v>174</v>
      </c>
      <c r="C153" s="70">
        <v>887.6</v>
      </c>
      <c r="D153" s="68">
        <f t="shared" si="13"/>
        <v>946.4699999999998</v>
      </c>
      <c r="E153" s="90">
        <f>F153+G153+H153+I153</f>
        <v>946.4699999999998</v>
      </c>
      <c r="F153" s="70">
        <f>207.92</f>
        <v>207.92</v>
      </c>
      <c r="G153" s="70">
        <f>214.89+92.41</f>
        <v>307.29999999999995</v>
      </c>
      <c r="H153" s="71">
        <f>399.59-269.89</f>
        <v>129.69999999999999</v>
      </c>
      <c r="I153" s="70">
        <f>175.27+177.48-51.2</f>
        <v>301.55</v>
      </c>
      <c r="J153" s="72"/>
    </row>
    <row r="154" spans="1:10" ht="20.100000000000001" customHeight="1" x14ac:dyDescent="0.2">
      <c r="A154" s="23" t="s">
        <v>46</v>
      </c>
      <c r="B154" s="26">
        <v>175</v>
      </c>
      <c r="C154" s="70"/>
      <c r="D154" s="68">
        <v>97</v>
      </c>
      <c r="E154" s="90">
        <f>SUM(F154:I154)</f>
        <v>97</v>
      </c>
      <c r="F154" s="70">
        <v>0</v>
      </c>
      <c r="G154" s="70">
        <v>0</v>
      </c>
      <c r="H154" s="70">
        <f>97</f>
        <v>97</v>
      </c>
      <c r="I154" s="70">
        <v>0</v>
      </c>
      <c r="J154" s="64"/>
    </row>
    <row r="155" spans="1:10" s="77" customFormat="1" ht="20.100000000000001" customHeight="1" x14ac:dyDescent="0.2">
      <c r="A155" s="100" t="s">
        <v>47</v>
      </c>
      <c r="B155" s="79">
        <v>180</v>
      </c>
      <c r="C155" s="115">
        <v>93303.2</v>
      </c>
      <c r="D155" s="95">
        <f>E155</f>
        <v>93283.972000000009</v>
      </c>
      <c r="E155" s="91">
        <f>SUM(F155:I155)</f>
        <v>93283.972000000009</v>
      </c>
      <c r="F155" s="90">
        <f>22609.4+4307.6-31.5</f>
        <v>26885.5</v>
      </c>
      <c r="G155" s="90">
        <f>24016-2417.8-25.3-353.26+62.037-983.607</f>
        <v>20298.070000000003</v>
      </c>
      <c r="H155" s="90">
        <f>23033-1434.3-25.3+186.111+81.967+852.21+460</f>
        <v>23153.688000000002</v>
      </c>
      <c r="I155" s="90">
        <f>22054-455.6-25.3+186.114+901.64+229.21-68.75-1078.52+1203.92</f>
        <v>22946.714</v>
      </c>
      <c r="J155" s="102"/>
    </row>
    <row r="156" spans="1:10" s="77" customFormat="1" ht="19.5" customHeight="1" x14ac:dyDescent="0.2">
      <c r="A156" s="100" t="s">
        <v>48</v>
      </c>
      <c r="B156" s="79">
        <v>190</v>
      </c>
      <c r="C156" s="115">
        <v>19670.2</v>
      </c>
      <c r="D156" s="95">
        <f>E156</f>
        <v>20468.618000000002</v>
      </c>
      <c r="E156" s="91">
        <f>SUM(F156:I156)</f>
        <v>20468.618000000002</v>
      </c>
      <c r="F156" s="90">
        <f>4920.8+947.7-6.9</f>
        <v>5861.6</v>
      </c>
      <c r="G156" s="90">
        <f>5284-531.9-5.5-77.72+13.648-216.393</f>
        <v>4466.1350000000002</v>
      </c>
      <c r="H156" s="90">
        <f>5067-315.5-5.5+40.944+18.033+187.43+100</f>
        <v>5092.4070000000011</v>
      </c>
      <c r="I156" s="90">
        <f>4852-100.2-5.5+40.946+198.36+50.43-15.13-237.28+264.85</f>
        <v>5048.4760000000006</v>
      </c>
      <c r="J156" s="102"/>
    </row>
    <row r="157" spans="1:10" ht="20.100000000000001" customHeight="1" x14ac:dyDescent="0.2">
      <c r="A157" s="19" t="s">
        <v>49</v>
      </c>
      <c r="B157" s="66">
        <v>200</v>
      </c>
      <c r="C157" s="68">
        <v>673.8</v>
      </c>
      <c r="D157" s="68"/>
      <c r="E157" s="91">
        <f>SUM(F157:I157)</f>
        <v>0</v>
      </c>
      <c r="F157" s="70"/>
      <c r="G157" s="70"/>
      <c r="H157" s="70"/>
      <c r="I157" s="70"/>
      <c r="J157" s="64"/>
    </row>
    <row r="158" spans="1:10" s="77" customFormat="1" ht="375" customHeight="1" x14ac:dyDescent="0.2">
      <c r="A158" s="100" t="s">
        <v>50</v>
      </c>
      <c r="B158" s="79">
        <v>210</v>
      </c>
      <c r="C158" s="96">
        <v>1851.3</v>
      </c>
      <c r="D158" s="95">
        <f>E158</f>
        <v>2208.0480000000002</v>
      </c>
      <c r="E158" s="91">
        <f t="shared" ref="E158:E163" si="17">F158+G158+H158+I158</f>
        <v>2208.0480000000002</v>
      </c>
      <c r="F158" s="115">
        <f>400+80.5</f>
        <v>480.5</v>
      </c>
      <c r="G158" s="115">
        <f>400+29.784+115.9</f>
        <v>545.68399999999997</v>
      </c>
      <c r="H158" s="90">
        <f>400+44.676+112.27</f>
        <v>556.94600000000003</v>
      </c>
      <c r="I158" s="90">
        <f>400+44.688+115.03+65.2</f>
        <v>624.91800000000001</v>
      </c>
      <c r="J158" s="116" t="s">
        <v>150</v>
      </c>
    </row>
    <row r="159" spans="1:10" ht="20.100000000000001" customHeight="1" x14ac:dyDescent="0.2">
      <c r="A159" s="19" t="s">
        <v>51</v>
      </c>
      <c r="B159" s="66">
        <v>220</v>
      </c>
      <c r="C159" s="68"/>
      <c r="D159" s="69"/>
      <c r="E159" s="92">
        <f t="shared" si="17"/>
        <v>0</v>
      </c>
      <c r="F159" s="73">
        <v>0</v>
      </c>
      <c r="G159" s="73"/>
      <c r="H159" s="73"/>
      <c r="I159" s="73"/>
      <c r="J159" s="64"/>
    </row>
    <row r="160" spans="1:10" ht="44.25" customHeight="1" x14ac:dyDescent="0.2">
      <c r="A160" s="19" t="s">
        <v>52</v>
      </c>
      <c r="B160" s="66">
        <v>230</v>
      </c>
      <c r="C160" s="68">
        <v>152.69999999999999</v>
      </c>
      <c r="D160" s="69">
        <f>E160</f>
        <v>391.5</v>
      </c>
      <c r="E160" s="91">
        <f t="shared" si="17"/>
        <v>391.5</v>
      </c>
      <c r="F160" s="70">
        <f>F162+F163</f>
        <v>110.3</v>
      </c>
      <c r="G160" s="70">
        <f t="shared" ref="G160:I160" si="18">G162+G163</f>
        <v>106.5</v>
      </c>
      <c r="H160" s="70">
        <f t="shared" si="18"/>
        <v>83.6</v>
      </c>
      <c r="I160" s="70">
        <f t="shared" si="18"/>
        <v>91.1</v>
      </c>
      <c r="J160" s="55"/>
    </row>
    <row r="161" spans="1:10" ht="26.25" customHeight="1" x14ac:dyDescent="0.2">
      <c r="A161" s="23" t="s">
        <v>125</v>
      </c>
      <c r="B161" s="26">
        <v>231</v>
      </c>
      <c r="C161" s="68"/>
      <c r="D161" s="69"/>
      <c r="E161" s="90">
        <f t="shared" si="17"/>
        <v>0</v>
      </c>
      <c r="F161" s="70"/>
      <c r="G161" s="70"/>
      <c r="H161" s="70"/>
      <c r="I161" s="70"/>
      <c r="J161" s="55"/>
    </row>
    <row r="162" spans="1:10" ht="20.25" customHeight="1" x14ac:dyDescent="0.2">
      <c r="A162" s="23" t="s">
        <v>126</v>
      </c>
      <c r="B162" s="26">
        <v>232</v>
      </c>
      <c r="C162" s="68">
        <v>195.9</v>
      </c>
      <c r="D162" s="69">
        <f>E162</f>
        <v>390.5</v>
      </c>
      <c r="E162" s="90">
        <f t="shared" si="17"/>
        <v>390.5</v>
      </c>
      <c r="F162" s="70">
        <f>52.5+19.2+38.4</f>
        <v>110.1</v>
      </c>
      <c r="G162" s="70">
        <f>52.5+30.8+23</f>
        <v>106.3</v>
      </c>
      <c r="H162" s="70">
        <f>52.5+30.8</f>
        <v>83.3</v>
      </c>
      <c r="I162" s="70">
        <f>52.5+30.8+7.5</f>
        <v>90.8</v>
      </c>
      <c r="J162" s="55"/>
    </row>
    <row r="163" spans="1:10" ht="30" customHeight="1" x14ac:dyDescent="0.2">
      <c r="A163" s="23" t="s">
        <v>127</v>
      </c>
      <c r="B163" s="26">
        <v>233</v>
      </c>
      <c r="C163" s="68">
        <v>0</v>
      </c>
      <c r="D163" s="69">
        <v>1</v>
      </c>
      <c r="E163" s="90">
        <f t="shared" si="17"/>
        <v>1</v>
      </c>
      <c r="F163" s="70">
        <v>0.2</v>
      </c>
      <c r="G163" s="70">
        <v>0.2</v>
      </c>
      <c r="H163" s="70">
        <v>0.3</v>
      </c>
      <c r="I163" s="70">
        <v>0.3</v>
      </c>
      <c r="J163" s="55"/>
    </row>
    <row r="164" spans="1:10" s="77" customFormat="1" ht="33" customHeight="1" x14ac:dyDescent="0.2">
      <c r="A164" s="100" t="s">
        <v>53</v>
      </c>
      <c r="B164" s="101">
        <v>240</v>
      </c>
      <c r="C164" s="114">
        <f>SUM(C165:C176,C177)</f>
        <v>0</v>
      </c>
      <c r="D164" s="113">
        <f>SUM(D165:D176,D177)</f>
        <v>0</v>
      </c>
      <c r="E164" s="91">
        <f>SUM(F164:I164)</f>
        <v>0</v>
      </c>
      <c r="F164" s="90">
        <f>SUM(F165:F176,F177)</f>
        <v>0</v>
      </c>
      <c r="G164" s="90">
        <f>SUM(G165:G176,G177)</f>
        <v>0</v>
      </c>
      <c r="H164" s="90">
        <f>SUM(H165:H176,H177)</f>
        <v>0</v>
      </c>
      <c r="I164" s="90">
        <f>SUM(I165:I176,I177)</f>
        <v>0</v>
      </c>
      <c r="J164" s="102"/>
    </row>
    <row r="165" spans="1:10" ht="38.25" customHeight="1" x14ac:dyDescent="0.2">
      <c r="A165" s="23" t="s">
        <v>54</v>
      </c>
      <c r="B165" s="24">
        <v>241</v>
      </c>
      <c r="C165" s="68"/>
      <c r="D165" s="68"/>
      <c r="E165" s="90">
        <f>F165+G165+H165+I165</f>
        <v>0</v>
      </c>
      <c r="F165" s="70"/>
      <c r="G165" s="70"/>
      <c r="H165" s="70"/>
      <c r="I165" s="70"/>
      <c r="J165" s="30"/>
    </row>
    <row r="166" spans="1:10" ht="42.75" customHeight="1" x14ac:dyDescent="0.2">
      <c r="A166" s="23" t="s">
        <v>55</v>
      </c>
      <c r="B166" s="24">
        <v>242</v>
      </c>
      <c r="C166" s="68"/>
      <c r="D166" s="68"/>
      <c r="E166" s="90">
        <f>SUM(F166:I166)</f>
        <v>0</v>
      </c>
      <c r="F166" s="70"/>
      <c r="G166" s="70"/>
      <c r="H166" s="70"/>
      <c r="I166" s="70"/>
      <c r="J166" s="30"/>
    </row>
    <row r="167" spans="1:10" ht="56.25" customHeight="1" x14ac:dyDescent="0.2">
      <c r="A167" s="23" t="s">
        <v>56</v>
      </c>
      <c r="B167" s="24">
        <v>243</v>
      </c>
      <c r="C167" s="68"/>
      <c r="D167" s="68"/>
      <c r="E167" s="90">
        <f>F167+G167+H167+I167</f>
        <v>0</v>
      </c>
      <c r="F167" s="70"/>
      <c r="G167" s="70"/>
      <c r="H167" s="70"/>
      <c r="I167" s="70"/>
      <c r="J167" s="30"/>
    </row>
    <row r="168" spans="1:10" ht="20.100000000000001" customHeight="1" x14ac:dyDescent="0.2">
      <c r="A168" s="23" t="s">
        <v>57</v>
      </c>
      <c r="B168" s="24">
        <v>244</v>
      </c>
      <c r="C168" s="68"/>
      <c r="D168" s="68"/>
      <c r="E168" s="90">
        <f>F168+G168+H168+I168</f>
        <v>0</v>
      </c>
      <c r="F168" s="70"/>
      <c r="G168" s="70"/>
      <c r="H168" s="70"/>
      <c r="I168" s="70"/>
      <c r="J168" s="30"/>
    </row>
    <row r="169" spans="1:10" ht="29.25" customHeight="1" x14ac:dyDescent="0.2">
      <c r="A169" s="23" t="s">
        <v>58</v>
      </c>
      <c r="B169" s="24">
        <v>245</v>
      </c>
      <c r="C169" s="68"/>
      <c r="D169" s="68"/>
      <c r="E169" s="90">
        <f>F169+G169+H169+I169</f>
        <v>0</v>
      </c>
      <c r="F169" s="70"/>
      <c r="G169" s="70"/>
      <c r="H169" s="70"/>
      <c r="I169" s="70"/>
      <c r="J169" s="30"/>
    </row>
    <row r="170" spans="1:10" ht="20.100000000000001" customHeight="1" x14ac:dyDescent="0.2">
      <c r="A170" s="23" t="s">
        <v>59</v>
      </c>
      <c r="B170" s="24">
        <v>246</v>
      </c>
      <c r="C170" s="68"/>
      <c r="D170" s="68"/>
      <c r="E170" s="90">
        <f>SUM(F170:I170)</f>
        <v>0</v>
      </c>
      <c r="F170" s="70"/>
      <c r="G170" s="70"/>
      <c r="H170" s="70"/>
      <c r="I170" s="70"/>
      <c r="J170" s="64"/>
    </row>
    <row r="171" spans="1:10" ht="20.100000000000001" customHeight="1" x14ac:dyDescent="0.2">
      <c r="A171" s="23" t="s">
        <v>60</v>
      </c>
      <c r="B171" s="24">
        <v>247</v>
      </c>
      <c r="C171" s="68"/>
      <c r="D171" s="68"/>
      <c r="E171" s="90">
        <f>SUM(F171:I171)</f>
        <v>0</v>
      </c>
      <c r="F171" s="70"/>
      <c r="G171" s="70"/>
      <c r="H171" s="70"/>
      <c r="I171" s="70"/>
      <c r="J171" s="64"/>
    </row>
    <row r="172" spans="1:10" ht="38.25" customHeight="1" x14ac:dyDescent="0.2">
      <c r="A172" s="23" t="s">
        <v>61</v>
      </c>
      <c r="B172" s="24">
        <v>248</v>
      </c>
      <c r="C172" s="68"/>
      <c r="D172" s="68"/>
      <c r="E172" s="90">
        <f>F172+G172+H172+I172</f>
        <v>0</v>
      </c>
      <c r="F172" s="70"/>
      <c r="G172" s="70"/>
      <c r="H172" s="70"/>
      <c r="I172" s="70"/>
      <c r="J172" s="30"/>
    </row>
    <row r="173" spans="1:10" ht="20.100000000000001" customHeight="1" x14ac:dyDescent="0.2">
      <c r="A173" s="23" t="s">
        <v>62</v>
      </c>
      <c r="B173" s="24">
        <v>249</v>
      </c>
      <c r="C173" s="68"/>
      <c r="D173" s="22"/>
      <c r="E173" s="90"/>
      <c r="F173" s="70"/>
      <c r="G173" s="70"/>
      <c r="H173" s="70"/>
      <c r="I173" s="70"/>
      <c r="J173" s="64"/>
    </row>
    <row r="174" spans="1:10" ht="20.25" customHeight="1" x14ac:dyDescent="0.2">
      <c r="A174" s="19" t="s">
        <v>63</v>
      </c>
      <c r="B174" s="20">
        <v>250</v>
      </c>
      <c r="C174" s="68"/>
      <c r="D174" s="22"/>
      <c r="E174" s="93">
        <f>F174+G174+H174+I174</f>
        <v>0</v>
      </c>
      <c r="F174" s="73"/>
      <c r="G174" s="73"/>
      <c r="H174" s="73"/>
      <c r="I174" s="73"/>
      <c r="J174" s="64"/>
    </row>
    <row r="175" spans="1:10" ht="20.100000000000001" customHeight="1" x14ac:dyDescent="0.2">
      <c r="A175" s="19" t="s">
        <v>64</v>
      </c>
      <c r="B175" s="20">
        <v>260</v>
      </c>
      <c r="C175" s="68"/>
      <c r="D175" s="22"/>
      <c r="E175" s="90"/>
      <c r="F175" s="70"/>
      <c r="G175" s="70"/>
      <c r="H175" s="70"/>
      <c r="I175" s="70"/>
      <c r="J175" s="64"/>
    </row>
    <row r="176" spans="1:10" ht="37.5" customHeight="1" x14ac:dyDescent="0.2">
      <c r="A176" s="19" t="s">
        <v>65</v>
      </c>
      <c r="B176" s="20">
        <v>270</v>
      </c>
      <c r="C176" s="68"/>
      <c r="D176" s="22"/>
      <c r="E176" s="94" t="s">
        <v>110</v>
      </c>
      <c r="F176" s="70"/>
      <c r="G176" s="74"/>
      <c r="H176" s="74"/>
      <c r="I176" s="74"/>
      <c r="J176" s="34"/>
    </row>
    <row r="177" spans="1:10" ht="43.5" customHeight="1" x14ac:dyDescent="0.2">
      <c r="A177" s="19" t="s">
        <v>66</v>
      </c>
      <c r="B177" s="20">
        <v>280</v>
      </c>
      <c r="C177" s="68"/>
      <c r="D177" s="22"/>
      <c r="E177" s="90">
        <f>F177+G177+H177+I177</f>
        <v>0</v>
      </c>
      <c r="F177" s="70"/>
      <c r="G177" s="70"/>
      <c r="H177" s="70"/>
      <c r="I177" s="70"/>
      <c r="J177" s="30"/>
    </row>
    <row r="178" spans="1:10" s="77" customFormat="1" ht="20.100000000000001" customHeight="1" x14ac:dyDescent="0.2">
      <c r="A178" s="100" t="s">
        <v>67</v>
      </c>
      <c r="B178" s="101">
        <v>290</v>
      </c>
      <c r="C178" s="117"/>
      <c r="D178" s="117"/>
      <c r="E178" s="88">
        <f>SUM(F178:I178)</f>
        <v>0</v>
      </c>
      <c r="F178" s="89"/>
      <c r="G178" s="89"/>
      <c r="H178" s="89"/>
      <c r="I178" s="89"/>
      <c r="J178" s="102"/>
    </row>
    <row r="179" spans="1:10" ht="20.100000000000001" customHeight="1" x14ac:dyDescent="0.2">
      <c r="A179" s="23" t="s">
        <v>68</v>
      </c>
      <c r="B179" s="31">
        <v>291</v>
      </c>
      <c r="C179" s="21"/>
      <c r="D179" s="21"/>
      <c r="E179" s="89">
        <f>SUM(F179:I179)</f>
        <v>0</v>
      </c>
      <c r="F179" s="22"/>
      <c r="G179" s="22"/>
      <c r="H179" s="22"/>
      <c r="I179" s="22"/>
      <c r="J179" s="64"/>
    </row>
    <row r="180" spans="1:10" ht="20.100000000000001" customHeight="1" x14ac:dyDescent="0.2">
      <c r="A180" s="23" t="s">
        <v>69</v>
      </c>
      <c r="B180" s="31">
        <v>292</v>
      </c>
      <c r="C180" s="21"/>
      <c r="D180" s="21"/>
      <c r="E180" s="89">
        <f>SUM(F180:I180)</f>
        <v>0</v>
      </c>
      <c r="F180" s="21"/>
      <c r="G180" s="21"/>
      <c r="H180" s="22"/>
      <c r="I180" s="22"/>
      <c r="J180" s="64"/>
    </row>
    <row r="181" spans="1:10" ht="35.1" customHeight="1" x14ac:dyDescent="0.2">
      <c r="A181" s="19" t="s">
        <v>70</v>
      </c>
      <c r="B181" s="65">
        <v>300</v>
      </c>
      <c r="C181" s="21"/>
      <c r="D181" s="21"/>
      <c r="E181" s="88">
        <f>F181+G181+H181+I181</f>
        <v>0</v>
      </c>
      <c r="F181" s="47"/>
      <c r="G181" s="47"/>
      <c r="H181" s="47"/>
      <c r="I181" s="47"/>
      <c r="J181" s="22">
        <v>0</v>
      </c>
    </row>
    <row r="182" spans="1:10" ht="20.100000000000001" customHeight="1" x14ac:dyDescent="0.2">
      <c r="A182" s="119" t="s">
        <v>71</v>
      </c>
      <c r="B182" s="119"/>
      <c r="C182" s="119"/>
      <c r="D182" s="119"/>
      <c r="E182" s="119"/>
      <c r="F182" s="119"/>
      <c r="G182" s="119"/>
      <c r="H182" s="119"/>
      <c r="I182" s="119"/>
      <c r="J182" s="64"/>
    </row>
    <row r="183" spans="1:10" ht="20.100000000000001" customHeight="1" x14ac:dyDescent="0.2">
      <c r="A183" s="19" t="s">
        <v>72</v>
      </c>
      <c r="B183" s="65">
        <v>400</v>
      </c>
      <c r="C183" s="68">
        <v>25006.400000000001</v>
      </c>
      <c r="D183" s="22">
        <f>E183</f>
        <v>29173.32</v>
      </c>
      <c r="E183" s="89">
        <f t="shared" ref="E183:E189" si="19">SUM(F183:I183)</f>
        <v>29173.32</v>
      </c>
      <c r="F183" s="22">
        <f>F145+F149</f>
        <v>6836.9000000000005</v>
      </c>
      <c r="G183" s="22">
        <f>G145+G149</f>
        <v>8107.4939999999997</v>
      </c>
      <c r="H183" s="22">
        <f>H145+H149</f>
        <v>6552.9209999999994</v>
      </c>
      <c r="I183" s="22">
        <f>I145+I149</f>
        <v>7676.0049999999992</v>
      </c>
      <c r="J183" s="64"/>
    </row>
    <row r="184" spans="1:10" ht="20.100000000000001" customHeight="1" x14ac:dyDescent="0.2">
      <c r="A184" s="19" t="s">
        <v>47</v>
      </c>
      <c r="B184" s="65">
        <v>410</v>
      </c>
      <c r="C184" s="68">
        <v>93303.2</v>
      </c>
      <c r="D184" s="22">
        <f>E184</f>
        <v>93283.972000000009</v>
      </c>
      <c r="E184" s="89">
        <f t="shared" si="19"/>
        <v>93283.972000000009</v>
      </c>
      <c r="F184" s="22">
        <f t="shared" ref="F184:I185" si="20">F155+F170</f>
        <v>26885.5</v>
      </c>
      <c r="G184" s="22">
        <f t="shared" si="20"/>
        <v>20298.070000000003</v>
      </c>
      <c r="H184" s="22">
        <f t="shared" si="20"/>
        <v>23153.688000000002</v>
      </c>
      <c r="I184" s="22">
        <f t="shared" si="20"/>
        <v>22946.714</v>
      </c>
      <c r="J184" s="64"/>
    </row>
    <row r="185" spans="1:10" ht="20.100000000000001" customHeight="1" x14ac:dyDescent="0.2">
      <c r="A185" s="19" t="s">
        <v>48</v>
      </c>
      <c r="B185" s="65">
        <v>420</v>
      </c>
      <c r="C185" s="68">
        <v>19670.2</v>
      </c>
      <c r="D185" s="22">
        <f>E185</f>
        <v>20468.618000000002</v>
      </c>
      <c r="E185" s="89">
        <f t="shared" si="19"/>
        <v>20468.618000000002</v>
      </c>
      <c r="F185" s="22">
        <f t="shared" si="20"/>
        <v>5861.6</v>
      </c>
      <c r="G185" s="22">
        <f t="shared" si="20"/>
        <v>4466.1350000000002</v>
      </c>
      <c r="H185" s="22">
        <f t="shared" si="20"/>
        <v>5092.4070000000011</v>
      </c>
      <c r="I185" s="22">
        <f t="shared" si="20"/>
        <v>5048.4760000000006</v>
      </c>
      <c r="J185" s="64"/>
    </row>
    <row r="186" spans="1:10" ht="20.100000000000001" customHeight="1" x14ac:dyDescent="0.2">
      <c r="A186" s="19" t="s">
        <v>49</v>
      </c>
      <c r="B186" s="65">
        <v>430</v>
      </c>
      <c r="C186" s="68">
        <v>673.8</v>
      </c>
      <c r="D186" s="22">
        <v>0</v>
      </c>
      <c r="E186" s="89">
        <f t="shared" si="19"/>
        <v>0</v>
      </c>
      <c r="F186" s="22">
        <f>F157</f>
        <v>0</v>
      </c>
      <c r="G186" s="22">
        <f>G157</f>
        <v>0</v>
      </c>
      <c r="H186" s="22">
        <f>H157</f>
        <v>0</v>
      </c>
      <c r="I186" s="22">
        <f>I157</f>
        <v>0</v>
      </c>
      <c r="J186" s="64"/>
    </row>
    <row r="187" spans="1:10" ht="20.100000000000001" customHeight="1" x14ac:dyDescent="0.2">
      <c r="A187" s="19" t="s">
        <v>51</v>
      </c>
      <c r="B187" s="65">
        <v>440</v>
      </c>
      <c r="C187" s="68"/>
      <c r="D187" s="22"/>
      <c r="E187" s="89">
        <f t="shared" si="19"/>
        <v>0</v>
      </c>
      <c r="F187" s="75">
        <f>F174+F159</f>
        <v>0</v>
      </c>
      <c r="G187" s="75">
        <f>G174+G159</f>
        <v>0</v>
      </c>
      <c r="H187" s="75">
        <f>H174+H159</f>
        <v>0</v>
      </c>
      <c r="I187" s="75">
        <f>I174+I159</f>
        <v>0</v>
      </c>
      <c r="J187" s="64"/>
    </row>
    <row r="188" spans="1:10" ht="20.100000000000001" customHeight="1" x14ac:dyDescent="0.2">
      <c r="A188" s="19" t="s">
        <v>73</v>
      </c>
      <c r="B188" s="65">
        <v>450</v>
      </c>
      <c r="C188" s="68">
        <v>2047.3</v>
      </c>
      <c r="D188" s="22">
        <f>E188</f>
        <v>2599.5480000000002</v>
      </c>
      <c r="E188" s="89">
        <f t="shared" si="19"/>
        <v>2599.5480000000002</v>
      </c>
      <c r="F188" s="22">
        <f>F149+F158+F160+F164+F181-F170-F171-F174-F149</f>
        <v>590.79999999999995</v>
      </c>
      <c r="G188" s="22">
        <f>G149+G158+G160+G164+G181-G170-G171-G174-G149</f>
        <v>652.1840000000002</v>
      </c>
      <c r="H188" s="22">
        <f>H149+H158+H160+H164+H181-H170-H171-H174-H149</f>
        <v>640.54600000000005</v>
      </c>
      <c r="I188" s="22">
        <f>I149+I158+I160+I164+I181-I170-I171-I174-I149</f>
        <v>716.01800000000003</v>
      </c>
      <c r="J188" s="64"/>
    </row>
    <row r="189" spans="1:10" ht="20.100000000000001" customHeight="1" x14ac:dyDescent="0.2">
      <c r="A189" s="19" t="s">
        <v>74</v>
      </c>
      <c r="B189" s="65">
        <v>460</v>
      </c>
      <c r="C189" s="68">
        <v>140700.9</v>
      </c>
      <c r="D189" s="48">
        <f>E189</f>
        <v>145525.45800000001</v>
      </c>
      <c r="E189" s="88">
        <f t="shared" si="19"/>
        <v>145525.45800000001</v>
      </c>
      <c r="F189" s="22">
        <f>SUM(F183:F188)</f>
        <v>40174.800000000003</v>
      </c>
      <c r="G189" s="22">
        <f>SUM(G183:G188)</f>
        <v>33523.883000000002</v>
      </c>
      <c r="H189" s="22">
        <f>SUM(H183:H188)</f>
        <v>35439.562000000005</v>
      </c>
      <c r="I189" s="22">
        <f>SUM(I183:I188)</f>
        <v>36387.213000000003</v>
      </c>
      <c r="J189" s="64"/>
    </row>
    <row r="190" spans="1:10" ht="20.100000000000001" customHeight="1" x14ac:dyDescent="0.2">
      <c r="A190" s="119" t="s">
        <v>75</v>
      </c>
      <c r="B190" s="119"/>
      <c r="C190" s="119"/>
      <c r="D190" s="119"/>
      <c r="E190" s="119"/>
      <c r="F190" s="119"/>
      <c r="G190" s="119"/>
      <c r="H190" s="119"/>
      <c r="I190" s="119"/>
      <c r="J190" s="64"/>
    </row>
    <row r="191" spans="1:10" s="77" customFormat="1" ht="20.100000000000001" customHeight="1" x14ac:dyDescent="0.2">
      <c r="A191" s="100" t="s">
        <v>76</v>
      </c>
      <c r="B191" s="106">
        <v>500</v>
      </c>
      <c r="C191" s="117"/>
      <c r="D191" s="117"/>
      <c r="E191" s="88">
        <f>SUM(F191:I191)</f>
        <v>0</v>
      </c>
      <c r="F191" s="117"/>
      <c r="G191" s="117"/>
      <c r="H191" s="89">
        <f>SUM(H192)</f>
        <v>0</v>
      </c>
      <c r="I191" s="89">
        <f>SUM(I192)</f>
        <v>0</v>
      </c>
      <c r="J191" s="102"/>
    </row>
    <row r="192" spans="1:10" ht="39" customHeight="1" x14ac:dyDescent="0.2">
      <c r="A192" s="19" t="s">
        <v>77</v>
      </c>
      <c r="B192" s="31">
        <v>501</v>
      </c>
      <c r="C192" s="21"/>
      <c r="D192" s="21"/>
      <c r="E192" s="89">
        <f>SUM(F192:I192)</f>
        <v>0</v>
      </c>
      <c r="F192" s="21"/>
      <c r="G192" s="21"/>
      <c r="H192" s="22"/>
      <c r="I192" s="22"/>
      <c r="J192" s="64"/>
    </row>
    <row r="193" spans="1:10" s="77" customFormat="1" ht="34.5" customHeight="1" x14ac:dyDescent="0.2">
      <c r="A193" s="108" t="s">
        <v>78</v>
      </c>
      <c r="B193" s="109">
        <v>510</v>
      </c>
      <c r="C193" s="113">
        <v>1040.3</v>
      </c>
      <c r="D193" s="88">
        <f>E193</f>
        <v>2453.6799999999998</v>
      </c>
      <c r="E193" s="88">
        <f t="shared" ref="E193:E199" si="21">SUM(F193:I193)</f>
        <v>2453.6799999999998</v>
      </c>
      <c r="F193" s="88">
        <f>SUM(F194:F199)</f>
        <v>2284</v>
      </c>
      <c r="G193" s="88">
        <f>SUM(G194:G199)</f>
        <v>169.68</v>
      </c>
      <c r="H193" s="88">
        <f>SUM(H194:H199)</f>
        <v>0</v>
      </c>
      <c r="I193" s="88">
        <f>SUM(I194:I199)</f>
        <v>0</v>
      </c>
      <c r="J193" s="102"/>
    </row>
    <row r="194" spans="1:10" ht="20.100000000000001" customHeight="1" x14ac:dyDescent="0.2">
      <c r="A194" s="19" t="s">
        <v>79</v>
      </c>
      <c r="B194" s="32">
        <v>511</v>
      </c>
      <c r="C194" s="68"/>
      <c r="D194" s="21"/>
      <c r="E194" s="61">
        <f t="shared" si="21"/>
        <v>0</v>
      </c>
      <c r="F194" s="22"/>
      <c r="G194" s="22"/>
      <c r="H194" s="22"/>
      <c r="I194" s="22"/>
      <c r="J194" s="64"/>
    </row>
    <row r="195" spans="1:10" ht="74.25" customHeight="1" x14ac:dyDescent="0.2">
      <c r="A195" s="19" t="s">
        <v>80</v>
      </c>
      <c r="B195" s="33">
        <v>512</v>
      </c>
      <c r="C195" s="68">
        <v>625.29999999999995</v>
      </c>
      <c r="D195" s="22">
        <f>E195</f>
        <v>2453.6799999999998</v>
      </c>
      <c r="E195" s="61">
        <f t="shared" si="21"/>
        <v>2453.6799999999998</v>
      </c>
      <c r="F195" s="22">
        <f>2250+34</f>
        <v>2284</v>
      </c>
      <c r="G195" s="22">
        <f>169.68</f>
        <v>169.68</v>
      </c>
      <c r="H195" s="22">
        <v>0</v>
      </c>
      <c r="I195" s="22">
        <v>0</v>
      </c>
      <c r="J195" s="30" t="s">
        <v>171</v>
      </c>
    </row>
    <row r="196" spans="1:10" ht="48" customHeight="1" x14ac:dyDescent="0.2">
      <c r="A196" s="19" t="s">
        <v>81</v>
      </c>
      <c r="B196" s="32">
        <v>513</v>
      </c>
      <c r="C196" s="68"/>
      <c r="D196" s="22"/>
      <c r="E196" s="61">
        <f t="shared" si="21"/>
        <v>0</v>
      </c>
      <c r="F196" s="22"/>
      <c r="G196" s="22"/>
      <c r="H196" s="22"/>
      <c r="I196" s="22"/>
      <c r="J196" s="34"/>
    </row>
    <row r="197" spans="1:10" ht="22.5" customHeight="1" x14ac:dyDescent="0.2">
      <c r="A197" s="19" t="s">
        <v>82</v>
      </c>
      <c r="B197" s="33">
        <v>514</v>
      </c>
      <c r="C197" s="68"/>
      <c r="D197" s="22"/>
      <c r="E197" s="61">
        <f t="shared" si="21"/>
        <v>0</v>
      </c>
      <c r="F197" s="22"/>
      <c r="G197" s="22"/>
      <c r="H197" s="22"/>
      <c r="I197" s="22"/>
      <c r="J197" s="30"/>
    </row>
    <row r="198" spans="1:10" ht="64.5" customHeight="1" x14ac:dyDescent="0.2">
      <c r="A198" s="19" t="s">
        <v>83</v>
      </c>
      <c r="B198" s="32">
        <v>515</v>
      </c>
      <c r="C198" s="68"/>
      <c r="D198" s="22"/>
      <c r="E198" s="61">
        <f t="shared" si="21"/>
        <v>0</v>
      </c>
      <c r="F198" s="22">
        <v>0</v>
      </c>
      <c r="G198" s="22">
        <v>0</v>
      </c>
      <c r="H198" s="22"/>
      <c r="I198" s="22">
        <v>0</v>
      </c>
      <c r="J198" s="30"/>
    </row>
    <row r="199" spans="1:10" ht="20.100000000000001" customHeight="1" x14ac:dyDescent="0.2">
      <c r="A199" s="19" t="s">
        <v>84</v>
      </c>
      <c r="B199" s="35">
        <v>516</v>
      </c>
      <c r="C199" s="21">
        <v>415</v>
      </c>
      <c r="D199" s="68">
        <v>0</v>
      </c>
      <c r="E199" s="61">
        <f t="shared" si="21"/>
        <v>0</v>
      </c>
      <c r="F199" s="22"/>
      <c r="G199" s="22">
        <v>0</v>
      </c>
      <c r="H199" s="22"/>
      <c r="I199" s="22">
        <v>0</v>
      </c>
      <c r="J199" s="64"/>
    </row>
    <row r="200" spans="1:10" ht="20.100000000000001" customHeight="1" x14ac:dyDescent="0.2">
      <c r="A200" s="119" t="s">
        <v>85</v>
      </c>
      <c r="B200" s="119"/>
      <c r="C200" s="119"/>
      <c r="D200" s="119"/>
      <c r="E200" s="119"/>
      <c r="F200" s="119"/>
      <c r="G200" s="119"/>
      <c r="H200" s="119"/>
      <c r="I200" s="119"/>
      <c r="J200" s="64"/>
    </row>
    <row r="201" spans="1:10" s="77" customFormat="1" ht="34.5" customHeight="1" x14ac:dyDescent="0.2">
      <c r="A201" s="100" t="s">
        <v>86</v>
      </c>
      <c r="B201" s="110">
        <v>600</v>
      </c>
      <c r="C201" s="117"/>
      <c r="D201" s="117"/>
      <c r="E201" s="89"/>
      <c r="F201" s="89"/>
      <c r="G201" s="89"/>
      <c r="H201" s="89"/>
      <c r="I201" s="89"/>
      <c r="J201" s="102"/>
    </row>
    <row r="202" spans="1:10" ht="20.100000000000001" customHeight="1" x14ac:dyDescent="0.2">
      <c r="A202" s="23" t="s">
        <v>87</v>
      </c>
      <c r="B202" s="35">
        <v>601</v>
      </c>
      <c r="C202" s="21"/>
      <c r="D202" s="21"/>
      <c r="E202" s="61">
        <f t="shared" ref="E202:E213" si="22">SUM(F202:I202)</f>
        <v>0</v>
      </c>
      <c r="F202" s="22"/>
      <c r="G202" s="22"/>
      <c r="H202" s="22"/>
      <c r="I202" s="22"/>
      <c r="J202" s="64"/>
    </row>
    <row r="203" spans="1:10" ht="20.100000000000001" customHeight="1" x14ac:dyDescent="0.2">
      <c r="A203" s="23" t="s">
        <v>88</v>
      </c>
      <c r="B203" s="35">
        <v>602</v>
      </c>
      <c r="C203" s="21"/>
      <c r="D203" s="21"/>
      <c r="E203" s="61">
        <f t="shared" si="22"/>
        <v>0</v>
      </c>
      <c r="F203" s="22"/>
      <c r="G203" s="22"/>
      <c r="H203" s="22"/>
      <c r="I203" s="22"/>
      <c r="J203" s="64"/>
    </row>
    <row r="204" spans="1:10" ht="20.100000000000001" customHeight="1" x14ac:dyDescent="0.2">
      <c r="A204" s="23" t="s">
        <v>89</v>
      </c>
      <c r="B204" s="35">
        <v>603</v>
      </c>
      <c r="C204" s="21"/>
      <c r="D204" s="21"/>
      <c r="E204" s="61">
        <f t="shared" si="22"/>
        <v>0</v>
      </c>
      <c r="F204" s="22"/>
      <c r="G204" s="22"/>
      <c r="H204" s="22"/>
      <c r="I204" s="22"/>
      <c r="J204" s="64"/>
    </row>
    <row r="205" spans="1:10" ht="20.100000000000001" customHeight="1" x14ac:dyDescent="0.2">
      <c r="A205" s="19" t="s">
        <v>90</v>
      </c>
      <c r="B205" s="36">
        <v>610</v>
      </c>
      <c r="C205" s="70">
        <v>3473.2</v>
      </c>
      <c r="D205" s="48">
        <f>E205</f>
        <v>2076.8000000000002</v>
      </c>
      <c r="E205" s="95">
        <f>SUM(F205:I205)</f>
        <v>2076.8000000000002</v>
      </c>
      <c r="F205" s="68">
        <f>F206+F207+F209+F208</f>
        <v>1205.5999999999999</v>
      </c>
      <c r="G205" s="68">
        <f t="shared" ref="G205" si="23">G206+G207+G209</f>
        <v>192.3</v>
      </c>
      <c r="H205" s="68">
        <f>H206+H207+H209+H208</f>
        <v>207.14</v>
      </c>
      <c r="I205" s="68">
        <f>I206+I207+I209+I208</f>
        <v>471.76</v>
      </c>
      <c r="J205" s="64"/>
    </row>
    <row r="206" spans="1:10" ht="20.100000000000001" customHeight="1" x14ac:dyDescent="0.2">
      <c r="A206" s="19" t="s">
        <v>151</v>
      </c>
      <c r="B206" s="36">
        <v>611</v>
      </c>
      <c r="C206" s="70">
        <v>743.4</v>
      </c>
      <c r="D206" s="48">
        <f>E206</f>
        <v>929.2</v>
      </c>
      <c r="E206" s="95">
        <f>F206+G206+H206+I206</f>
        <v>929.2</v>
      </c>
      <c r="F206" s="68">
        <v>156</v>
      </c>
      <c r="G206" s="68">
        <f>156+34.3</f>
        <v>190.3</v>
      </c>
      <c r="H206" s="68">
        <f>156+48.14</f>
        <v>204.14</v>
      </c>
      <c r="I206" s="68">
        <f>156+161.36+61.4</f>
        <v>378.76</v>
      </c>
      <c r="J206" s="64"/>
    </row>
    <row r="207" spans="1:10" ht="41.25" customHeight="1" x14ac:dyDescent="0.2">
      <c r="A207" s="19" t="s">
        <v>152</v>
      </c>
      <c r="B207" s="36">
        <v>612</v>
      </c>
      <c r="C207" s="70">
        <v>17.5</v>
      </c>
      <c r="D207" s="48">
        <f>E207</f>
        <v>31</v>
      </c>
      <c r="E207" s="95">
        <f>F207+G207+H207+I207</f>
        <v>31</v>
      </c>
      <c r="F207" s="68">
        <v>3</v>
      </c>
      <c r="G207" s="68">
        <f>3-1</f>
        <v>2</v>
      </c>
      <c r="H207" s="68">
        <v>3</v>
      </c>
      <c r="I207" s="68">
        <f>3+20</f>
        <v>23</v>
      </c>
      <c r="J207" s="64"/>
    </row>
    <row r="208" spans="1:10" ht="40.5" customHeight="1" x14ac:dyDescent="0.2">
      <c r="A208" s="19" t="s">
        <v>153</v>
      </c>
      <c r="B208" s="36">
        <v>613</v>
      </c>
      <c r="C208" s="70">
        <v>2036.8</v>
      </c>
      <c r="D208" s="48">
        <f>E208</f>
        <v>70</v>
      </c>
      <c r="E208" s="95">
        <f>F208+G208+H208+I208</f>
        <v>70</v>
      </c>
      <c r="F208" s="68">
        <v>0</v>
      </c>
      <c r="G208" s="68">
        <v>0</v>
      </c>
      <c r="H208" s="68">
        <v>0</v>
      </c>
      <c r="I208" s="68">
        <v>70</v>
      </c>
      <c r="J208" s="30" t="s">
        <v>179</v>
      </c>
    </row>
    <row r="209" spans="1:10" ht="41.25" customHeight="1" x14ac:dyDescent="0.2">
      <c r="A209" s="19" t="s">
        <v>164</v>
      </c>
      <c r="B209" s="36">
        <v>620</v>
      </c>
      <c r="C209" s="70">
        <v>675.5</v>
      </c>
      <c r="D209" s="48">
        <f>E209</f>
        <v>1046.5999999999999</v>
      </c>
      <c r="E209" s="95">
        <f>F209+G209+H209+I209</f>
        <v>1046.5999999999999</v>
      </c>
      <c r="F209" s="68">
        <v>1046.5999999999999</v>
      </c>
      <c r="G209" s="68">
        <v>0</v>
      </c>
      <c r="H209" s="68">
        <v>0</v>
      </c>
      <c r="I209" s="68">
        <v>0</v>
      </c>
      <c r="J209" s="64"/>
    </row>
    <row r="210" spans="1:10" s="77" customFormat="1" ht="39.75" customHeight="1" x14ac:dyDescent="0.2">
      <c r="A210" s="100" t="s">
        <v>91</v>
      </c>
      <c r="B210" s="110">
        <v>630</v>
      </c>
      <c r="C210" s="90"/>
      <c r="D210" s="118">
        <f>SUM(D211:D213)</f>
        <v>0</v>
      </c>
      <c r="E210" s="88"/>
      <c r="F210" s="89"/>
      <c r="G210" s="89"/>
      <c r="H210" s="89"/>
      <c r="I210" s="89"/>
      <c r="J210" s="102"/>
    </row>
    <row r="211" spans="1:10" ht="20.100000000000001" customHeight="1" x14ac:dyDescent="0.2">
      <c r="A211" s="23" t="s">
        <v>87</v>
      </c>
      <c r="B211" s="35">
        <v>631</v>
      </c>
      <c r="C211" s="70"/>
      <c r="D211" s="21"/>
      <c r="E211" s="61">
        <f t="shared" si="22"/>
        <v>0</v>
      </c>
      <c r="F211" s="22"/>
      <c r="G211" s="22"/>
      <c r="H211" s="22"/>
      <c r="I211" s="22"/>
      <c r="J211" s="64"/>
    </row>
    <row r="212" spans="1:10" ht="20.100000000000001" customHeight="1" x14ac:dyDescent="0.2">
      <c r="A212" s="23" t="s">
        <v>88</v>
      </c>
      <c r="B212" s="35">
        <v>632</v>
      </c>
      <c r="C212" s="70"/>
      <c r="D212" s="68"/>
      <c r="E212" s="61">
        <f t="shared" si="22"/>
        <v>0</v>
      </c>
      <c r="F212" s="22"/>
      <c r="G212" s="22"/>
      <c r="H212" s="22"/>
      <c r="I212" s="22"/>
      <c r="J212" s="64"/>
    </row>
    <row r="213" spans="1:10" ht="20.100000000000001" customHeight="1" x14ac:dyDescent="0.2">
      <c r="A213" s="23" t="s">
        <v>89</v>
      </c>
      <c r="B213" s="35">
        <v>633</v>
      </c>
      <c r="C213" s="70"/>
      <c r="D213" s="21"/>
      <c r="E213" s="61">
        <f t="shared" si="22"/>
        <v>0</v>
      </c>
      <c r="F213" s="22"/>
      <c r="G213" s="22"/>
      <c r="H213" s="22"/>
      <c r="I213" s="22"/>
      <c r="J213" s="64"/>
    </row>
    <row r="214" spans="1:10" ht="53.25" customHeight="1" x14ac:dyDescent="0.2">
      <c r="A214" s="14" t="s">
        <v>154</v>
      </c>
      <c r="B214" s="36">
        <v>640</v>
      </c>
      <c r="C214" s="70">
        <v>2426.6</v>
      </c>
      <c r="D214" s="68">
        <f>E214</f>
        <v>2076.8000000000002</v>
      </c>
      <c r="E214" s="95">
        <f>F214+G214+H214+I214</f>
        <v>2076.8000000000002</v>
      </c>
      <c r="F214" s="68">
        <f>F219+F220+F221+F222+F223+F224+F215</f>
        <v>1205.5999999999999</v>
      </c>
      <c r="G214" s="68">
        <f t="shared" ref="G214:I214" si="24">G219+G220+G221+G222+G223+G224+G215</f>
        <v>192.3</v>
      </c>
      <c r="H214" s="68">
        <f t="shared" si="24"/>
        <v>207.14</v>
      </c>
      <c r="I214" s="68">
        <f t="shared" si="24"/>
        <v>471.76</v>
      </c>
      <c r="J214" s="64"/>
    </row>
    <row r="215" spans="1:10" s="77" customFormat="1" ht="53.25" customHeight="1" x14ac:dyDescent="0.2">
      <c r="A215" s="100" t="s">
        <v>42</v>
      </c>
      <c r="B215" s="79">
        <v>641</v>
      </c>
      <c r="C215" s="90">
        <v>3.5</v>
      </c>
      <c r="D215" s="88">
        <f>E215</f>
        <v>0</v>
      </c>
      <c r="E215" s="88">
        <f>SUM(F215:I215)</f>
        <v>0</v>
      </c>
      <c r="F215" s="89">
        <f>SUM(F216:F217)</f>
        <v>213.6</v>
      </c>
      <c r="G215" s="89">
        <f t="shared" ref="G215:I215" si="25">SUM(G216:G217)</f>
        <v>0</v>
      </c>
      <c r="H215" s="89">
        <f t="shared" si="25"/>
        <v>0</v>
      </c>
      <c r="I215" s="89">
        <f t="shared" si="25"/>
        <v>-213.6</v>
      </c>
      <c r="J215" s="102"/>
    </row>
    <row r="216" spans="1:10" s="77" customFormat="1" ht="53.25" customHeight="1" x14ac:dyDescent="0.2">
      <c r="A216" s="105" t="s">
        <v>120</v>
      </c>
      <c r="B216" s="79">
        <v>642</v>
      </c>
      <c r="C216" s="90">
        <v>0</v>
      </c>
      <c r="D216" s="88">
        <v>0</v>
      </c>
      <c r="E216" s="90">
        <f>F216+G216+H216+I216</f>
        <v>0</v>
      </c>
      <c r="F216" s="115"/>
      <c r="G216" s="115"/>
      <c r="H216" s="115"/>
      <c r="I216" s="115">
        <v>0</v>
      </c>
      <c r="J216" s="102"/>
    </row>
    <row r="217" spans="1:10" ht="53.25" customHeight="1" x14ac:dyDescent="0.2">
      <c r="A217" s="23" t="s">
        <v>43</v>
      </c>
      <c r="B217" s="26">
        <v>643</v>
      </c>
      <c r="C217" s="70">
        <v>3.5</v>
      </c>
      <c r="D217" s="22">
        <f>E217</f>
        <v>0</v>
      </c>
      <c r="E217" s="90">
        <f>F217+G217+H217+I217</f>
        <v>0</v>
      </c>
      <c r="F217" s="70">
        <v>213.6</v>
      </c>
      <c r="G217" s="70"/>
      <c r="H217" s="70"/>
      <c r="I217" s="70">
        <v>-213.6</v>
      </c>
      <c r="J217" s="64"/>
    </row>
    <row r="218" spans="1:10" ht="53.25" customHeight="1" x14ac:dyDescent="0.2">
      <c r="A218" s="23" t="s">
        <v>45</v>
      </c>
      <c r="B218" s="26">
        <v>644</v>
      </c>
      <c r="C218" s="70">
        <v>0</v>
      </c>
      <c r="D218" s="22"/>
      <c r="E218" s="90"/>
      <c r="F218" s="70"/>
      <c r="G218" s="70"/>
      <c r="H218" s="70"/>
      <c r="I218" s="70"/>
      <c r="J218" s="64"/>
    </row>
    <row r="219" spans="1:10" ht="35.25" customHeight="1" x14ac:dyDescent="0.2">
      <c r="A219" s="19" t="s">
        <v>122</v>
      </c>
      <c r="B219" s="36">
        <v>645</v>
      </c>
      <c r="C219" s="70">
        <v>111.1</v>
      </c>
      <c r="D219" s="58">
        <f t="shared" ref="D219:D226" si="26">E219</f>
        <v>583</v>
      </c>
      <c r="E219" s="96">
        <f t="shared" ref="E219:E224" si="27">F219+G219+H219+I219</f>
        <v>583</v>
      </c>
      <c r="F219" s="68">
        <f>24+355</f>
        <v>379</v>
      </c>
      <c r="G219" s="68">
        <v>24</v>
      </c>
      <c r="H219" s="68">
        <v>24</v>
      </c>
      <c r="I219" s="68">
        <f>24+82+50</f>
        <v>156</v>
      </c>
      <c r="J219" s="64"/>
    </row>
    <row r="220" spans="1:10" ht="27" customHeight="1" x14ac:dyDescent="0.2">
      <c r="A220" s="19" t="s">
        <v>40</v>
      </c>
      <c r="B220" s="36">
        <v>646</v>
      </c>
      <c r="C220" s="70">
        <v>55.5</v>
      </c>
      <c r="D220" s="58">
        <f t="shared" si="26"/>
        <v>552.4</v>
      </c>
      <c r="E220" s="96">
        <f t="shared" si="27"/>
        <v>552.4</v>
      </c>
      <c r="F220" s="68">
        <f>68.75+250</f>
        <v>318.75</v>
      </c>
      <c r="G220" s="68">
        <f>68.75-4</f>
        <v>64.75</v>
      </c>
      <c r="H220" s="68">
        <v>68.75</v>
      </c>
      <c r="I220" s="68">
        <f>68.75+31.4</f>
        <v>100.15</v>
      </c>
      <c r="J220" s="64"/>
    </row>
    <row r="221" spans="1:10" ht="27" customHeight="1" x14ac:dyDescent="0.2">
      <c r="A221" s="19" t="s">
        <v>155</v>
      </c>
      <c r="B221" s="36">
        <v>647</v>
      </c>
      <c r="C221" s="70">
        <v>109.1</v>
      </c>
      <c r="D221" s="58">
        <f t="shared" si="26"/>
        <v>241.2</v>
      </c>
      <c r="E221" s="96">
        <f t="shared" si="27"/>
        <v>241.2</v>
      </c>
      <c r="F221" s="68">
        <f>17.25+30</f>
        <v>47.25</v>
      </c>
      <c r="G221" s="68">
        <f>17.25+10</f>
        <v>27.25</v>
      </c>
      <c r="H221" s="68">
        <f>17.25+40.14</f>
        <v>57.39</v>
      </c>
      <c r="I221" s="68">
        <f>17.25+62.06+30</f>
        <v>109.31</v>
      </c>
      <c r="J221" s="64"/>
    </row>
    <row r="222" spans="1:10" ht="20.100000000000001" customHeight="1" x14ac:dyDescent="0.2">
      <c r="A222" s="19" t="s">
        <v>156</v>
      </c>
      <c r="B222" s="36">
        <v>648</v>
      </c>
      <c r="C222" s="70">
        <v>110.6</v>
      </c>
      <c r="D222" s="58">
        <f t="shared" si="26"/>
        <v>195.3</v>
      </c>
      <c r="E222" s="96">
        <f t="shared" si="27"/>
        <v>195.3</v>
      </c>
      <c r="F222" s="68">
        <v>25</v>
      </c>
      <c r="G222" s="68">
        <v>25</v>
      </c>
      <c r="H222" s="68">
        <f>25+8</f>
        <v>33</v>
      </c>
      <c r="I222" s="68">
        <f>25+37.3+50</f>
        <v>112.3</v>
      </c>
      <c r="J222" s="64"/>
    </row>
    <row r="223" spans="1:10" ht="52.5" customHeight="1" x14ac:dyDescent="0.2">
      <c r="A223" s="19" t="s">
        <v>157</v>
      </c>
      <c r="B223" s="36">
        <v>649</v>
      </c>
      <c r="C223" s="70">
        <v>1348</v>
      </c>
      <c r="D223" s="58">
        <f t="shared" si="26"/>
        <v>504.9</v>
      </c>
      <c r="E223" s="96">
        <f t="shared" si="27"/>
        <v>504.9</v>
      </c>
      <c r="F223" s="68">
        <f>24+198</f>
        <v>222</v>
      </c>
      <c r="G223" s="68">
        <f>24+27.3</f>
        <v>51.3</v>
      </c>
      <c r="H223" s="68">
        <v>24</v>
      </c>
      <c r="I223" s="68">
        <f>24+113.6+70</f>
        <v>207.6</v>
      </c>
      <c r="J223" s="30" t="s">
        <v>176</v>
      </c>
    </row>
    <row r="224" spans="1:10" ht="20.100000000000001" customHeight="1" x14ac:dyDescent="0.2">
      <c r="A224" s="19" t="s">
        <v>158</v>
      </c>
      <c r="B224" s="36">
        <v>650</v>
      </c>
      <c r="C224" s="70">
        <v>205</v>
      </c>
      <c r="D224" s="21">
        <f t="shared" si="26"/>
        <v>0</v>
      </c>
      <c r="E224" s="96">
        <f t="shared" si="27"/>
        <v>0</v>
      </c>
      <c r="F224" s="68">
        <v>0</v>
      </c>
      <c r="G224" s="68">
        <v>0</v>
      </c>
      <c r="H224" s="68">
        <v>0</v>
      </c>
      <c r="I224" s="68">
        <v>0</v>
      </c>
      <c r="J224" s="64"/>
    </row>
    <row r="225" spans="1:10" s="77" customFormat="1" ht="20.100000000000001" customHeight="1" x14ac:dyDescent="0.2">
      <c r="A225" s="108" t="s">
        <v>92</v>
      </c>
      <c r="B225" s="112">
        <v>700</v>
      </c>
      <c r="C225" s="91">
        <v>146099.4</v>
      </c>
      <c r="D225" s="97">
        <f t="shared" si="26"/>
        <v>150055.91999999998</v>
      </c>
      <c r="E225" s="97">
        <f>SUM(F225:I225)</f>
        <v>150055.91999999998</v>
      </c>
      <c r="F225" s="97">
        <f>F135+F205</f>
        <v>43664.4</v>
      </c>
      <c r="G225" s="97">
        <f>G135+G205</f>
        <v>33885.86</v>
      </c>
      <c r="H225" s="97">
        <f>H135+H205</f>
        <v>35646.699999999997</v>
      </c>
      <c r="I225" s="97">
        <f>I135+I205</f>
        <v>36858.959999999992</v>
      </c>
      <c r="J225" s="102"/>
    </row>
    <row r="226" spans="1:10" s="77" customFormat="1" ht="20.100000000000001" customHeight="1" x14ac:dyDescent="0.2">
      <c r="A226" s="108" t="s">
        <v>93</v>
      </c>
      <c r="B226" s="112">
        <v>800</v>
      </c>
      <c r="C226" s="91">
        <v>144167.79999999999</v>
      </c>
      <c r="D226" s="97">
        <f t="shared" si="26"/>
        <v>150055.93800000002</v>
      </c>
      <c r="E226" s="97">
        <f>SUM(F226:I226)</f>
        <v>150055.93800000002</v>
      </c>
      <c r="F226" s="97">
        <f>F144+F214</f>
        <v>43664.4</v>
      </c>
      <c r="G226" s="97">
        <f>G144+G214</f>
        <v>33885.863000000005</v>
      </c>
      <c r="H226" s="97">
        <f>H144+H214</f>
        <v>35646.702000000005</v>
      </c>
      <c r="I226" s="97">
        <f>I144+I214</f>
        <v>36858.972999999998</v>
      </c>
      <c r="J226" s="102"/>
    </row>
    <row r="227" spans="1:10" ht="46.5" customHeight="1" x14ac:dyDescent="0.2">
      <c r="A227" s="19" t="s">
        <v>94</v>
      </c>
      <c r="B227" s="20">
        <v>900</v>
      </c>
      <c r="C227" s="70">
        <v>1931.6</v>
      </c>
      <c r="D227" s="21">
        <f t="shared" ref="D227:I227" si="28">D225-D226</f>
        <v>-1.8000000040046871E-2</v>
      </c>
      <c r="E227" s="89">
        <f t="shared" si="28"/>
        <v>-1.8000000040046871E-2</v>
      </c>
      <c r="F227" s="37">
        <f t="shared" si="28"/>
        <v>0</v>
      </c>
      <c r="G227" s="37">
        <f t="shared" si="28"/>
        <v>-3.0000000042491592E-3</v>
      </c>
      <c r="H227" s="37">
        <f t="shared" si="28"/>
        <v>-2.0000000076834112E-3</v>
      </c>
      <c r="I227" s="37">
        <f t="shared" si="28"/>
        <v>-1.3000000006286427E-2</v>
      </c>
      <c r="J227" s="64"/>
    </row>
    <row r="228" spans="1:10" ht="19.5" customHeight="1" x14ac:dyDescent="0.2">
      <c r="A228" s="119" t="s">
        <v>95</v>
      </c>
      <c r="B228" s="119"/>
      <c r="C228" s="38"/>
      <c r="D228" s="38"/>
      <c r="E228" s="86"/>
      <c r="F228" s="39" t="s">
        <v>96</v>
      </c>
      <c r="G228" s="39" t="s">
        <v>97</v>
      </c>
      <c r="H228" s="39" t="s">
        <v>98</v>
      </c>
      <c r="I228" s="39" t="s">
        <v>99</v>
      </c>
      <c r="J228" s="64"/>
    </row>
    <row r="229" spans="1:10" ht="19.5" customHeight="1" x14ac:dyDescent="0.2">
      <c r="A229" s="19" t="s">
        <v>100</v>
      </c>
      <c r="B229" s="20">
        <v>1000</v>
      </c>
      <c r="C229" s="21"/>
      <c r="D229" s="21"/>
      <c r="E229" s="87"/>
      <c r="F229" s="49">
        <v>649.25</v>
      </c>
      <c r="G229" s="49">
        <v>652.5</v>
      </c>
      <c r="H229" s="49">
        <v>661.25</v>
      </c>
      <c r="I229" s="49">
        <v>670</v>
      </c>
      <c r="J229" s="64"/>
    </row>
    <row r="230" spans="1:10" ht="19.5" customHeight="1" x14ac:dyDescent="0.2">
      <c r="A230" s="19" t="s">
        <v>101</v>
      </c>
      <c r="B230" s="20">
        <v>1010</v>
      </c>
      <c r="C230" s="21"/>
      <c r="D230" s="21"/>
      <c r="E230" s="87"/>
      <c r="F230" s="22">
        <v>0</v>
      </c>
      <c r="G230" s="22">
        <v>0</v>
      </c>
      <c r="H230" s="22">
        <v>0</v>
      </c>
      <c r="I230" s="22">
        <v>0</v>
      </c>
      <c r="J230" s="64"/>
    </row>
    <row r="231" spans="1:10" ht="19.5" customHeight="1" x14ac:dyDescent="0.2">
      <c r="A231" s="19" t="s">
        <v>102</v>
      </c>
      <c r="B231" s="20">
        <v>1020</v>
      </c>
      <c r="C231" s="21"/>
      <c r="D231" s="21"/>
      <c r="E231" s="87"/>
      <c r="F231" s="21">
        <f>-G231-F1250</f>
        <v>0</v>
      </c>
      <c r="G231" s="21">
        <f>-H231-G1250</f>
        <v>0</v>
      </c>
      <c r="H231" s="21">
        <f>-I231-H1250</f>
        <v>0</v>
      </c>
      <c r="I231" s="21">
        <v>0</v>
      </c>
      <c r="J231" s="64"/>
    </row>
    <row r="232" spans="1:10" ht="42" customHeight="1" x14ac:dyDescent="0.2">
      <c r="A232" s="19" t="s">
        <v>103</v>
      </c>
      <c r="B232" s="20">
        <v>1030</v>
      </c>
      <c r="C232" s="21"/>
      <c r="D232" s="21"/>
      <c r="E232" s="87"/>
      <c r="F232" s="21">
        <f>-H1232</f>
        <v>0</v>
      </c>
      <c r="G232" s="21">
        <f>-I1232</f>
        <v>0</v>
      </c>
      <c r="H232" s="21">
        <f>-J1232</f>
        <v>0</v>
      </c>
      <c r="I232" s="21">
        <v>0</v>
      </c>
      <c r="J232" s="64"/>
    </row>
    <row r="233" spans="1:10" ht="19.5" customHeight="1" x14ac:dyDescent="0.2">
      <c r="A233" s="40"/>
      <c r="B233" s="41"/>
      <c r="C233" s="42"/>
      <c r="D233" s="42"/>
      <c r="E233" s="98"/>
      <c r="F233" s="42"/>
      <c r="G233" s="42"/>
      <c r="H233" s="42"/>
      <c r="I233" s="42"/>
    </row>
    <row r="234" spans="1:10" ht="2.25" customHeight="1" x14ac:dyDescent="0.2">
      <c r="A234" s="40"/>
      <c r="B234" s="67"/>
      <c r="C234" s="43"/>
      <c r="D234" s="44"/>
      <c r="E234" s="99"/>
      <c r="F234" s="44"/>
      <c r="G234" s="44"/>
      <c r="H234" s="44"/>
      <c r="I234" s="44"/>
    </row>
    <row r="235" spans="1:10" ht="30.75" customHeight="1" x14ac:dyDescent="0.2">
      <c r="A235" s="76" t="s">
        <v>108</v>
      </c>
      <c r="B235" s="41"/>
      <c r="C235" s="120" t="s">
        <v>104</v>
      </c>
      <c r="D235" s="120"/>
      <c r="E235" s="120"/>
      <c r="F235" s="45"/>
      <c r="G235" s="121" t="s">
        <v>182</v>
      </c>
      <c r="H235" s="121"/>
      <c r="I235" s="121"/>
    </row>
    <row r="236" spans="1:10" ht="20.100000000000001" customHeight="1" x14ac:dyDescent="0.2">
      <c r="A236" s="63" t="s">
        <v>105</v>
      </c>
      <c r="B236" s="1"/>
      <c r="C236" s="122" t="s">
        <v>106</v>
      </c>
      <c r="D236" s="122"/>
      <c r="E236" s="122"/>
      <c r="F236" s="63"/>
      <c r="G236" s="123"/>
      <c r="H236" s="123"/>
      <c r="I236" s="123"/>
    </row>
    <row r="237" spans="1:10" x14ac:dyDescent="0.2">
      <c r="A237" s="46"/>
    </row>
    <row r="238" spans="1:10" x14ac:dyDescent="0.2">
      <c r="A238" s="46"/>
    </row>
    <row r="239" spans="1:10" x14ac:dyDescent="0.2">
      <c r="A239" s="46"/>
    </row>
    <row r="240" spans="1:10" x14ac:dyDescent="0.2">
      <c r="A240" s="46"/>
    </row>
    <row r="241" spans="1:1" x14ac:dyDescent="0.2">
      <c r="A241" s="46"/>
    </row>
    <row r="242" spans="1:1" x14ac:dyDescent="0.2">
      <c r="A242" s="46"/>
    </row>
    <row r="243" spans="1:1" x14ac:dyDescent="0.2">
      <c r="A243" s="46"/>
    </row>
    <row r="244" spans="1:1" x14ac:dyDescent="0.2">
      <c r="A244" s="46"/>
    </row>
    <row r="245" spans="1:1" x14ac:dyDescent="0.2">
      <c r="A245" s="46"/>
    </row>
    <row r="246" spans="1:1" x14ac:dyDescent="0.2">
      <c r="A246" s="46"/>
    </row>
    <row r="247" spans="1:1" x14ac:dyDescent="0.2">
      <c r="A247" s="46"/>
    </row>
    <row r="248" spans="1:1" x14ac:dyDescent="0.2">
      <c r="A248" s="46"/>
    </row>
    <row r="249" spans="1:1" x14ac:dyDescent="0.2">
      <c r="A249" s="46"/>
    </row>
    <row r="250" spans="1:1" x14ac:dyDescent="0.2">
      <c r="A250" s="46"/>
    </row>
    <row r="251" spans="1:1" x14ac:dyDescent="0.2">
      <c r="A251" s="46"/>
    </row>
    <row r="252" spans="1:1" x14ac:dyDescent="0.2">
      <c r="A252" s="46"/>
    </row>
    <row r="253" spans="1:1" x14ac:dyDescent="0.2">
      <c r="A253" s="46"/>
    </row>
    <row r="254" spans="1:1" x14ac:dyDescent="0.2">
      <c r="A254" s="46"/>
    </row>
    <row r="255" spans="1:1" x14ac:dyDescent="0.2">
      <c r="A255" s="46"/>
    </row>
    <row r="256" spans="1:1" x14ac:dyDescent="0.2">
      <c r="A256" s="46"/>
    </row>
    <row r="257" spans="1:1" x14ac:dyDescent="0.2">
      <c r="A257" s="46"/>
    </row>
    <row r="258" spans="1:1" x14ac:dyDescent="0.2">
      <c r="A258" s="46"/>
    </row>
    <row r="259" spans="1:1" x14ac:dyDescent="0.2">
      <c r="A259" s="46"/>
    </row>
    <row r="260" spans="1:1" x14ac:dyDescent="0.2">
      <c r="A260" s="46"/>
    </row>
    <row r="261" spans="1:1" x14ac:dyDescent="0.2">
      <c r="A261" s="46"/>
    </row>
    <row r="262" spans="1:1" x14ac:dyDescent="0.2">
      <c r="A262" s="46"/>
    </row>
    <row r="263" spans="1:1" x14ac:dyDescent="0.2">
      <c r="A263" s="46"/>
    </row>
    <row r="264" spans="1:1" x14ac:dyDescent="0.2">
      <c r="A264" s="46"/>
    </row>
    <row r="265" spans="1:1" x14ac:dyDescent="0.2">
      <c r="A265" s="46"/>
    </row>
    <row r="266" spans="1:1" x14ac:dyDescent="0.2">
      <c r="A266" s="46"/>
    </row>
    <row r="267" spans="1:1" x14ac:dyDescent="0.2">
      <c r="A267" s="46"/>
    </row>
    <row r="268" spans="1:1" x14ac:dyDescent="0.2">
      <c r="A268" s="46"/>
    </row>
    <row r="269" spans="1:1" x14ac:dyDescent="0.2">
      <c r="A269" s="46"/>
    </row>
    <row r="270" spans="1:1" x14ac:dyDescent="0.2">
      <c r="A270" s="46"/>
    </row>
    <row r="271" spans="1:1" x14ac:dyDescent="0.2">
      <c r="A271" s="46"/>
    </row>
    <row r="272" spans="1:1" x14ac:dyDescent="0.2">
      <c r="A272" s="46"/>
    </row>
    <row r="273" spans="1:1" x14ac:dyDescent="0.2">
      <c r="A273" s="46"/>
    </row>
    <row r="274" spans="1:1" x14ac:dyDescent="0.2">
      <c r="A274" s="46"/>
    </row>
    <row r="275" spans="1:1" x14ac:dyDescent="0.2">
      <c r="A275" s="46"/>
    </row>
    <row r="276" spans="1:1" x14ac:dyDescent="0.2">
      <c r="A276" s="46"/>
    </row>
    <row r="277" spans="1:1" x14ac:dyDescent="0.2">
      <c r="A277" s="46"/>
    </row>
    <row r="278" spans="1:1" x14ac:dyDescent="0.2">
      <c r="A278" s="46"/>
    </row>
    <row r="279" spans="1:1" x14ac:dyDescent="0.2">
      <c r="A279" s="46"/>
    </row>
    <row r="280" spans="1:1" x14ac:dyDescent="0.2">
      <c r="A280" s="46"/>
    </row>
    <row r="281" spans="1:1" x14ac:dyDescent="0.2">
      <c r="A281" s="46"/>
    </row>
    <row r="282" spans="1:1" x14ac:dyDescent="0.2">
      <c r="A282" s="46"/>
    </row>
    <row r="283" spans="1:1" x14ac:dyDescent="0.2">
      <c r="A283" s="46"/>
    </row>
    <row r="284" spans="1:1" x14ac:dyDescent="0.2">
      <c r="A284" s="46"/>
    </row>
    <row r="285" spans="1:1" x14ac:dyDescent="0.2">
      <c r="A285" s="46"/>
    </row>
    <row r="286" spans="1:1" x14ac:dyDescent="0.2">
      <c r="A286" s="46"/>
    </row>
    <row r="287" spans="1:1" x14ac:dyDescent="0.2">
      <c r="A287" s="46"/>
    </row>
    <row r="288" spans="1:1" x14ac:dyDescent="0.2">
      <c r="A288" s="46"/>
    </row>
    <row r="289" spans="1:1" x14ac:dyDescent="0.2">
      <c r="A289" s="46"/>
    </row>
    <row r="290" spans="1:1" x14ac:dyDescent="0.2">
      <c r="A290" s="46"/>
    </row>
    <row r="291" spans="1:1" x14ac:dyDescent="0.2">
      <c r="A291" s="46"/>
    </row>
    <row r="292" spans="1:1" x14ac:dyDescent="0.2">
      <c r="A292" s="46"/>
    </row>
    <row r="293" spans="1:1" x14ac:dyDescent="0.2">
      <c r="A293" s="46"/>
    </row>
    <row r="294" spans="1:1" x14ac:dyDescent="0.2">
      <c r="A294" s="46"/>
    </row>
    <row r="295" spans="1:1" x14ac:dyDescent="0.2">
      <c r="A295" s="46"/>
    </row>
    <row r="296" spans="1:1" x14ac:dyDescent="0.2">
      <c r="A296" s="46"/>
    </row>
    <row r="297" spans="1:1" x14ac:dyDescent="0.2">
      <c r="A297" s="46"/>
    </row>
    <row r="298" spans="1:1" x14ac:dyDescent="0.2">
      <c r="A298" s="46"/>
    </row>
    <row r="299" spans="1:1" x14ac:dyDescent="0.2">
      <c r="A299" s="46"/>
    </row>
    <row r="300" spans="1:1" x14ac:dyDescent="0.2">
      <c r="A300" s="46"/>
    </row>
    <row r="301" spans="1:1" x14ac:dyDescent="0.2">
      <c r="A301" s="46"/>
    </row>
    <row r="302" spans="1:1" x14ac:dyDescent="0.2">
      <c r="A302" s="46"/>
    </row>
    <row r="303" spans="1:1" x14ac:dyDescent="0.2">
      <c r="A303" s="46"/>
    </row>
    <row r="304" spans="1:1" x14ac:dyDescent="0.2">
      <c r="A304" s="46"/>
    </row>
    <row r="305" spans="1:1" x14ac:dyDescent="0.2">
      <c r="A305" s="46"/>
    </row>
    <row r="306" spans="1:1" x14ac:dyDescent="0.2">
      <c r="A306" s="46"/>
    </row>
    <row r="307" spans="1:1" x14ac:dyDescent="0.2">
      <c r="A307" s="46"/>
    </row>
    <row r="308" spans="1:1" x14ac:dyDescent="0.2">
      <c r="A308" s="46"/>
    </row>
    <row r="309" spans="1:1" x14ac:dyDescent="0.2">
      <c r="A309" s="46"/>
    </row>
    <row r="310" spans="1:1" x14ac:dyDescent="0.2">
      <c r="A310" s="46"/>
    </row>
    <row r="311" spans="1:1" x14ac:dyDescent="0.2">
      <c r="A311" s="46"/>
    </row>
    <row r="312" spans="1:1" x14ac:dyDescent="0.2">
      <c r="A312" s="46"/>
    </row>
    <row r="313" spans="1:1" x14ac:dyDescent="0.2">
      <c r="A313" s="46"/>
    </row>
    <row r="314" spans="1:1" x14ac:dyDescent="0.2">
      <c r="A314" s="46"/>
    </row>
    <row r="315" spans="1:1" x14ac:dyDescent="0.2">
      <c r="A315" s="46"/>
    </row>
    <row r="316" spans="1:1" x14ac:dyDescent="0.2">
      <c r="A316" s="46"/>
    </row>
    <row r="317" spans="1:1" x14ac:dyDescent="0.2">
      <c r="A317" s="46"/>
    </row>
    <row r="318" spans="1:1" x14ac:dyDescent="0.2">
      <c r="A318" s="46"/>
    </row>
    <row r="319" spans="1:1" x14ac:dyDescent="0.2">
      <c r="A319" s="46"/>
    </row>
    <row r="320" spans="1:1" x14ac:dyDescent="0.2">
      <c r="A320" s="46"/>
    </row>
    <row r="321" spans="1:1" x14ac:dyDescent="0.2">
      <c r="A321" s="46"/>
    </row>
    <row r="322" spans="1:1" x14ac:dyDescent="0.2">
      <c r="A322" s="46"/>
    </row>
  </sheetData>
  <mergeCells count="62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116:I116"/>
    <mergeCell ref="A97:I97"/>
    <mergeCell ref="A111:B111"/>
    <mergeCell ref="B117:F117"/>
    <mergeCell ref="B118:E118"/>
    <mergeCell ref="B119:E119"/>
    <mergeCell ref="B120:F120"/>
    <mergeCell ref="B121:E121"/>
    <mergeCell ref="B125:E125"/>
    <mergeCell ref="B126:F126"/>
    <mergeCell ref="B127:E127"/>
    <mergeCell ref="B128:E128"/>
    <mergeCell ref="B122:E122"/>
    <mergeCell ref="B123:E123"/>
    <mergeCell ref="F123:H123"/>
    <mergeCell ref="B124:E124"/>
    <mergeCell ref="F124:H124"/>
    <mergeCell ref="J130:J131"/>
    <mergeCell ref="A133:I133"/>
    <mergeCell ref="A134:J134"/>
    <mergeCell ref="A182:I182"/>
    <mergeCell ref="A190:I190"/>
    <mergeCell ref="A130:A131"/>
    <mergeCell ref="B130:B131"/>
    <mergeCell ref="C130:C131"/>
    <mergeCell ref="D130:D131"/>
    <mergeCell ref="E130:E131"/>
    <mergeCell ref="F130:I130"/>
    <mergeCell ref="A200:I200"/>
    <mergeCell ref="A228:B228"/>
    <mergeCell ref="C235:E235"/>
    <mergeCell ref="G235:I235"/>
    <mergeCell ref="C236:E236"/>
    <mergeCell ref="G236:I236"/>
  </mergeCells>
  <phoneticPr fontId="0" type="noConversion"/>
  <pageMargins left="0.78740157480314965" right="0" top="0.31496062992125984" bottom="0.27559055118110237" header="0" footer="0.31496062992125984"/>
  <pageSetup paperSize="9" scale="54" fitToHeight="0" orientation="landscape" horizontalDpi="4294967293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2023-11-30T13:34:09Z</cp:lastPrinted>
  <dcterms:created xsi:type="dcterms:W3CDTF">2019-03-11T09:36:47Z</dcterms:created>
  <dcterms:modified xsi:type="dcterms:W3CDTF">2023-12-04T12:19:50Z</dcterms:modified>
</cp:coreProperties>
</file>